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V. Ž. - tajnica\Desktop\TAJA\GODIŠNJI FINANCIJSKI IZVJEŠTAJI\2024 završni\"/>
    </mc:Choice>
  </mc:AlternateContent>
  <bookViews>
    <workbookView xWindow="0" yWindow="0" windowWidth="21600" windowHeight="9330" tabRatio="907" activeTab="6"/>
  </bookViews>
  <sheets>
    <sheet name="opći dio" sheetId="11" r:id="rId1"/>
    <sheet name=" Račun prihoda i rashoda" sheetId="3" r:id="rId2"/>
    <sheet name="Prihodi i rashodi po izvorima" sheetId="9" r:id="rId3"/>
    <sheet name="Rashodi prema funkcijskoj kl" sheetId="5" r:id="rId4"/>
    <sheet name="Račun financiranja" sheetId="6" r:id="rId5"/>
    <sheet name="Račun financiranja po izvorima " sheetId="10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3" l="1"/>
  <c r="H23" i="3"/>
  <c r="I22" i="3"/>
  <c r="H22" i="3"/>
  <c r="H24" i="3"/>
  <c r="E296" i="7" l="1"/>
  <c r="E297" i="7"/>
  <c r="H319" i="7"/>
  <c r="I319" i="7"/>
  <c r="I318" i="7"/>
  <c r="H318" i="7"/>
  <c r="I316" i="7"/>
  <c r="H316" i="7"/>
  <c r="F310" i="7"/>
  <c r="I314" i="7"/>
  <c r="H314" i="7"/>
  <c r="I313" i="7"/>
  <c r="H313" i="7"/>
  <c r="H312" i="7"/>
  <c r="I312" i="7"/>
  <c r="I311" i="7"/>
  <c r="H311" i="7"/>
  <c r="G310" i="7"/>
  <c r="I310" i="7" s="1"/>
  <c r="E310" i="7"/>
  <c r="I309" i="7"/>
  <c r="H309" i="7"/>
  <c r="I307" i="7"/>
  <c r="H307" i="7"/>
  <c r="I306" i="7"/>
  <c r="H306" i="7"/>
  <c r="I305" i="7"/>
  <c r="H305" i="7"/>
  <c r="I303" i="7"/>
  <c r="H303" i="7"/>
  <c r="H302" i="7"/>
  <c r="G302" i="7"/>
  <c r="F302" i="7"/>
  <c r="E302" i="7"/>
  <c r="I301" i="7"/>
  <c r="H301" i="7"/>
  <c r="H300" i="7"/>
  <c r="F297" i="7"/>
  <c r="H298" i="7"/>
  <c r="I298" i="7"/>
  <c r="G297" i="7"/>
  <c r="G272" i="7"/>
  <c r="F272" i="7"/>
  <c r="F270" i="7" s="1"/>
  <c r="E272" i="7"/>
  <c r="E271" i="7" s="1"/>
  <c r="G270" i="7"/>
  <c r="I141" i="7"/>
  <c r="H141" i="7"/>
  <c r="G140" i="7"/>
  <c r="F140" i="7"/>
  <c r="E140" i="7"/>
  <c r="G133" i="7"/>
  <c r="F133" i="7"/>
  <c r="E133" i="7"/>
  <c r="I302" i="7" l="1"/>
  <c r="I272" i="7"/>
  <c r="I300" i="7"/>
  <c r="H297" i="7"/>
  <c r="H310" i="7"/>
  <c r="I297" i="7"/>
  <c r="F132" i="7"/>
  <c r="F131" i="7" s="1"/>
  <c r="H140" i="7"/>
  <c r="E132" i="7"/>
  <c r="E131" i="7" s="1"/>
  <c r="I270" i="7"/>
  <c r="I271" i="7"/>
  <c r="H272" i="7"/>
  <c r="I133" i="7"/>
  <c r="G132" i="7"/>
  <c r="G131" i="7" s="1"/>
  <c r="H133" i="7"/>
  <c r="I140" i="7"/>
  <c r="H22" i="7"/>
  <c r="I22" i="7"/>
  <c r="G20" i="7"/>
  <c r="G19" i="7" s="1"/>
  <c r="E20" i="7"/>
  <c r="E19" i="7" s="1"/>
  <c r="I18" i="7"/>
  <c r="H18" i="7"/>
  <c r="G17" i="7"/>
  <c r="F17" i="7"/>
  <c r="E17" i="7"/>
  <c r="G15" i="7"/>
  <c r="F15" i="7"/>
  <c r="E15" i="7"/>
  <c r="I12" i="7"/>
  <c r="H12" i="7"/>
  <c r="G11" i="7"/>
  <c r="F11" i="7"/>
  <c r="E11" i="7"/>
  <c r="B38" i="9"/>
  <c r="B34" i="9"/>
  <c r="B35" i="9"/>
  <c r="B32" i="9"/>
  <c r="B21" i="9"/>
  <c r="I131" i="7" l="1"/>
  <c r="H11" i="7"/>
  <c r="I11" i="7"/>
  <c r="F10" i="7"/>
  <c r="I17" i="7"/>
  <c r="I132" i="7"/>
  <c r="H132" i="7"/>
  <c r="H131" i="7"/>
  <c r="I15" i="7"/>
  <c r="H15" i="7"/>
  <c r="G10" i="7"/>
  <c r="H19" i="7"/>
  <c r="F20" i="7"/>
  <c r="F19" i="7" s="1"/>
  <c r="F9" i="7" s="1"/>
  <c r="F25" i="7" s="1"/>
  <c r="H16" i="7"/>
  <c r="I16" i="7"/>
  <c r="H17" i="7"/>
  <c r="H20" i="7"/>
  <c r="E10" i="7"/>
  <c r="E9" i="7" s="1"/>
  <c r="E25" i="7" s="1"/>
  <c r="H19" i="3"/>
  <c r="H20" i="3"/>
  <c r="I19" i="7" l="1"/>
  <c r="I20" i="7"/>
  <c r="I10" i="7"/>
  <c r="H10" i="7"/>
  <c r="G9" i="7"/>
  <c r="H432" i="7"/>
  <c r="H428" i="7"/>
  <c r="I426" i="7"/>
  <c r="H426" i="7"/>
  <c r="H422" i="7"/>
  <c r="I392" i="7"/>
  <c r="G367" i="7"/>
  <c r="I411" i="7"/>
  <c r="H411" i="7"/>
  <c r="I400" i="7"/>
  <c r="H400" i="7"/>
  <c r="I390" i="7"/>
  <c r="H390" i="7"/>
  <c r="H371" i="7"/>
  <c r="I368" i="7"/>
  <c r="H368" i="7"/>
  <c r="H363" i="7"/>
  <c r="H359" i="7"/>
  <c r="I357" i="7"/>
  <c r="H357" i="7"/>
  <c r="H353" i="7"/>
  <c r="H340" i="7"/>
  <c r="H336" i="7"/>
  <c r="H330" i="7"/>
  <c r="I288" i="7"/>
  <c r="H288" i="7"/>
  <c r="I264" i="7"/>
  <c r="H264" i="7"/>
  <c r="I261" i="7"/>
  <c r="I259" i="7"/>
  <c r="I258" i="7"/>
  <c r="H258" i="7"/>
  <c r="I250" i="7"/>
  <c r="H250" i="7"/>
  <c r="I248" i="7"/>
  <c r="I246" i="7"/>
  <c r="H246" i="7"/>
  <c r="I245" i="7"/>
  <c r="H245" i="7"/>
  <c r="H244" i="7"/>
  <c r="I243" i="7"/>
  <c r="I241" i="7"/>
  <c r="H241" i="7"/>
  <c r="I239" i="7"/>
  <c r="I238" i="7"/>
  <c r="H238" i="7"/>
  <c r="I237" i="7"/>
  <c r="H237" i="7"/>
  <c r="I235" i="7"/>
  <c r="I233" i="7"/>
  <c r="H233" i="7"/>
  <c r="H232" i="7"/>
  <c r="G230" i="7"/>
  <c r="I230" i="7" s="1"/>
  <c r="I181" i="7"/>
  <c r="H181" i="7"/>
  <c r="I173" i="7"/>
  <c r="H173" i="7"/>
  <c r="I210" i="7"/>
  <c r="H210" i="7"/>
  <c r="I191" i="7"/>
  <c r="H191" i="7"/>
  <c r="I165" i="7"/>
  <c r="H165" i="7"/>
  <c r="I160" i="7"/>
  <c r="H160" i="7"/>
  <c r="I151" i="7"/>
  <c r="H151" i="7"/>
  <c r="H82" i="7"/>
  <c r="I130" i="7"/>
  <c r="H130" i="7"/>
  <c r="I122" i="7"/>
  <c r="H122" i="7"/>
  <c r="I119" i="7"/>
  <c r="H119" i="7"/>
  <c r="I114" i="7"/>
  <c r="H114" i="7"/>
  <c r="I107" i="7"/>
  <c r="H107" i="7"/>
  <c r="I106" i="7"/>
  <c r="H106" i="7"/>
  <c r="I101" i="7"/>
  <c r="H101" i="7"/>
  <c r="H9" i="7" l="1"/>
  <c r="I9" i="7"/>
  <c r="G25" i="7"/>
  <c r="I82" i="7"/>
  <c r="H68" i="7"/>
  <c r="H64" i="7"/>
  <c r="H58" i="7"/>
  <c r="H45" i="7"/>
  <c r="I41" i="7"/>
  <c r="H41" i="7"/>
  <c r="I35" i="7"/>
  <c r="H35" i="7"/>
  <c r="F13" i="5"/>
  <c r="E14" i="5"/>
  <c r="F14" i="5"/>
  <c r="F11" i="5"/>
  <c r="D35" i="9"/>
  <c r="D30" i="9"/>
  <c r="D38" i="9"/>
  <c r="F30" i="9"/>
  <c r="E32" i="9"/>
  <c r="F32" i="9"/>
  <c r="E34" i="9"/>
  <c r="F34" i="9"/>
  <c r="E35" i="9"/>
  <c r="F35" i="9"/>
  <c r="F37" i="9"/>
  <c r="E38" i="9"/>
  <c r="F38" i="9"/>
  <c r="D15" i="9"/>
  <c r="E15" i="9" s="1"/>
  <c r="D18" i="9"/>
  <c r="D21" i="9"/>
  <c r="F12" i="9"/>
  <c r="F13" i="9"/>
  <c r="F15" i="9"/>
  <c r="E17" i="9"/>
  <c r="F17" i="9"/>
  <c r="E18" i="9"/>
  <c r="F18" i="9"/>
  <c r="F20" i="9"/>
  <c r="E21" i="9"/>
  <c r="F21" i="9"/>
  <c r="D13" i="9"/>
  <c r="H80" i="3"/>
  <c r="H51" i="3"/>
  <c r="I51" i="3"/>
  <c r="H55" i="3"/>
  <c r="I55" i="3"/>
  <c r="H57" i="3"/>
  <c r="I57" i="3"/>
  <c r="H60" i="3"/>
  <c r="I60" i="3"/>
  <c r="H61" i="3"/>
  <c r="I61" i="3"/>
  <c r="H62" i="3"/>
  <c r="I62" i="3"/>
  <c r="H63" i="3"/>
  <c r="I63" i="3"/>
  <c r="H65" i="3"/>
  <c r="I65" i="3"/>
  <c r="H66" i="3"/>
  <c r="I66" i="3"/>
  <c r="H67" i="3"/>
  <c r="I67" i="3"/>
  <c r="H68" i="3"/>
  <c r="I68" i="3"/>
  <c r="H69" i="3"/>
  <c r="I69" i="3"/>
  <c r="H71" i="3"/>
  <c r="I71" i="3"/>
  <c r="H73" i="3"/>
  <c r="I73" i="3"/>
  <c r="H74" i="3"/>
  <c r="I74" i="3"/>
  <c r="H75" i="3"/>
  <c r="I75" i="3"/>
  <c r="H76" i="3"/>
  <c r="I76" i="3"/>
  <c r="H78" i="3"/>
  <c r="I78" i="3"/>
  <c r="I79" i="3"/>
  <c r="I80" i="3"/>
  <c r="H81" i="3"/>
  <c r="I81" i="3"/>
  <c r="H88" i="3"/>
  <c r="I88" i="3"/>
  <c r="H89" i="3"/>
  <c r="I89" i="3"/>
  <c r="H91" i="3"/>
  <c r="I91" i="3"/>
  <c r="H94" i="3"/>
  <c r="I94" i="3"/>
  <c r="H99" i="3"/>
  <c r="I99" i="3"/>
  <c r="I103" i="3"/>
  <c r="H112" i="3"/>
  <c r="I112" i="3"/>
  <c r="H14" i="3"/>
  <c r="I14" i="3"/>
  <c r="H17" i="3"/>
  <c r="I17" i="3"/>
  <c r="H18" i="3"/>
  <c r="I18" i="3"/>
  <c r="I20" i="3"/>
  <c r="I24" i="3"/>
  <c r="H27" i="3"/>
  <c r="I27" i="3"/>
  <c r="H30" i="3"/>
  <c r="I30" i="3"/>
  <c r="H36" i="3"/>
  <c r="I36" i="3"/>
  <c r="I37" i="3"/>
  <c r="I13" i="11"/>
  <c r="I12" i="11"/>
  <c r="I9" i="11"/>
  <c r="I25" i="7" l="1"/>
  <c r="H25" i="7"/>
  <c r="I27" i="11"/>
  <c r="J13" i="11"/>
  <c r="G13" i="11"/>
  <c r="G12" i="11"/>
  <c r="G11" i="11" s="1"/>
  <c r="F11" i="11"/>
  <c r="H8" i="11"/>
  <c r="G8" i="11"/>
  <c r="F8" i="11"/>
  <c r="F14" i="11" s="1"/>
  <c r="J27" i="11"/>
  <c r="J9" i="11"/>
  <c r="G14" i="11" l="1"/>
  <c r="H11" i="11"/>
  <c r="H14" i="11" s="1"/>
  <c r="I8" i="11"/>
  <c r="J8" i="11"/>
  <c r="F79" i="3"/>
  <c r="J12" i="11" l="1"/>
  <c r="C13" i="5"/>
  <c r="F74" i="3"/>
  <c r="F81" i="3"/>
  <c r="G102" i="3"/>
  <c r="F102" i="3"/>
  <c r="C21" i="9"/>
  <c r="C35" i="9"/>
  <c r="C30" i="9"/>
  <c r="I102" i="3" l="1"/>
  <c r="J11" i="11"/>
  <c r="I11" i="11"/>
  <c r="G81" i="7"/>
  <c r="F80" i="7"/>
  <c r="F79" i="7" s="1"/>
  <c r="F78" i="7" s="1"/>
  <c r="E78" i="7"/>
  <c r="F251" i="7"/>
  <c r="I251" i="7" s="1"/>
  <c r="F244" i="7"/>
  <c r="I244" i="7" s="1"/>
  <c r="E285" i="7"/>
  <c r="G80" i="7" l="1"/>
  <c r="I81" i="7"/>
  <c r="H81" i="7"/>
  <c r="G398" i="7"/>
  <c r="G385" i="7"/>
  <c r="G356" i="7"/>
  <c r="G339" i="7"/>
  <c r="G334" i="7"/>
  <c r="G333" i="7" s="1"/>
  <c r="G287" i="7"/>
  <c r="G263" i="7"/>
  <c r="G184" i="7"/>
  <c r="G172" i="7"/>
  <c r="G117" i="7"/>
  <c r="G105" i="7"/>
  <c r="G98" i="7"/>
  <c r="G92" i="7"/>
  <c r="G67" i="7"/>
  <c r="G62" i="7"/>
  <c r="G40" i="7"/>
  <c r="G39" i="7"/>
  <c r="G38" i="7" s="1"/>
  <c r="G34" i="7"/>
  <c r="G425" i="7"/>
  <c r="G410" i="7"/>
  <c r="G403" i="7"/>
  <c r="G394" i="7"/>
  <c r="G374" i="7"/>
  <c r="G266" i="7"/>
  <c r="G226" i="7"/>
  <c r="G224" i="7"/>
  <c r="G220" i="7"/>
  <c r="G209" i="7"/>
  <c r="G202" i="7"/>
  <c r="G196" i="7"/>
  <c r="G193" i="7"/>
  <c r="G159" i="7"/>
  <c r="G156" i="7"/>
  <c r="G154" i="7"/>
  <c r="G150" i="7"/>
  <c r="G123" i="7"/>
  <c r="G100" i="7"/>
  <c r="G95" i="7"/>
  <c r="G61" i="7"/>
  <c r="D15" i="5"/>
  <c r="C36" i="9"/>
  <c r="B36" i="9"/>
  <c r="C33" i="9"/>
  <c r="B33" i="9"/>
  <c r="C31" i="9"/>
  <c r="B31" i="9"/>
  <c r="C29" i="9"/>
  <c r="B29" i="9"/>
  <c r="C19" i="9"/>
  <c r="B19" i="9"/>
  <c r="C16" i="9"/>
  <c r="B16" i="9"/>
  <c r="C14" i="9"/>
  <c r="B14" i="9"/>
  <c r="C12" i="9"/>
  <c r="B12" i="9"/>
  <c r="G115" i="3"/>
  <c r="G90" i="3"/>
  <c r="G87" i="3"/>
  <c r="G86" i="3"/>
  <c r="G77" i="3"/>
  <c r="G70" i="3"/>
  <c r="F114" i="3"/>
  <c r="F113" i="3" s="1"/>
  <c r="F112" i="3"/>
  <c r="F111" i="3" s="1"/>
  <c r="E111" i="3"/>
  <c r="F104" i="3"/>
  <c r="E104" i="3"/>
  <c r="F97" i="3"/>
  <c r="F96" i="3" s="1"/>
  <c r="E97" i="3"/>
  <c r="E96" i="3" s="1"/>
  <c r="F93" i="3"/>
  <c r="F92" i="3" s="1"/>
  <c r="E93" i="3"/>
  <c r="E92" i="3" s="1"/>
  <c r="F91" i="3"/>
  <c r="F89" i="3"/>
  <c r="F84" i="3" s="1"/>
  <c r="E84" i="3"/>
  <c r="F82" i="3"/>
  <c r="E82" i="3"/>
  <c r="E72" i="3"/>
  <c r="F73" i="3"/>
  <c r="F69" i="3"/>
  <c r="F65" i="3"/>
  <c r="E64" i="3"/>
  <c r="F61" i="3"/>
  <c r="F60" i="3"/>
  <c r="E59" i="3"/>
  <c r="F57" i="3"/>
  <c r="F56" i="3" s="1"/>
  <c r="E56" i="3"/>
  <c r="F55" i="3"/>
  <c r="F54" i="3" s="1"/>
  <c r="E54" i="3"/>
  <c r="F51" i="3"/>
  <c r="F50" i="3" s="1"/>
  <c r="E50" i="3"/>
  <c r="F35" i="3"/>
  <c r="F34" i="3" s="1"/>
  <c r="E35" i="3"/>
  <c r="E34" i="3" s="1"/>
  <c r="F31" i="3"/>
  <c r="E31" i="3"/>
  <c r="F29" i="3"/>
  <c r="E29" i="3"/>
  <c r="F26" i="3"/>
  <c r="F25" i="3" s="1"/>
  <c r="E26" i="3"/>
  <c r="E25" i="3" s="1"/>
  <c r="F23" i="3"/>
  <c r="F22" i="3" s="1"/>
  <c r="E23" i="3"/>
  <c r="E22" i="3" s="1"/>
  <c r="F19" i="3"/>
  <c r="E19" i="3"/>
  <c r="F16" i="3"/>
  <c r="E16" i="3"/>
  <c r="F13" i="3"/>
  <c r="E13" i="3"/>
  <c r="H39" i="7" l="1"/>
  <c r="I39" i="7"/>
  <c r="G192" i="7"/>
  <c r="G97" i="7"/>
  <c r="I98" i="7"/>
  <c r="H98" i="7"/>
  <c r="H339" i="7"/>
  <c r="I339" i="7"/>
  <c r="G91" i="7"/>
  <c r="I92" i="7"/>
  <c r="H92" i="7"/>
  <c r="H62" i="7"/>
  <c r="I62" i="7"/>
  <c r="G262" i="7"/>
  <c r="H334" i="7"/>
  <c r="I334" i="7"/>
  <c r="G393" i="7"/>
  <c r="H67" i="7"/>
  <c r="I67" i="7"/>
  <c r="I117" i="7"/>
  <c r="H117" i="7"/>
  <c r="G286" i="7"/>
  <c r="H287" i="7"/>
  <c r="G79" i="7"/>
  <c r="H80" i="7"/>
  <c r="I80" i="7"/>
  <c r="D12" i="5"/>
  <c r="F15" i="5"/>
  <c r="B28" i="9"/>
  <c r="G397" i="7"/>
  <c r="G402" i="7"/>
  <c r="C28" i="9"/>
  <c r="F28" i="3"/>
  <c r="E49" i="3"/>
  <c r="F101" i="3"/>
  <c r="F100" i="3" s="1"/>
  <c r="E28" i="3"/>
  <c r="F64" i="3"/>
  <c r="E101" i="3"/>
  <c r="E100" i="3" s="1"/>
  <c r="F12" i="3"/>
  <c r="F11" i="3" s="1"/>
  <c r="F59" i="3"/>
  <c r="F72" i="3"/>
  <c r="G149" i="7"/>
  <c r="B11" i="9"/>
  <c r="C11" i="9"/>
  <c r="G113" i="7"/>
  <c r="G33" i="7"/>
  <c r="G219" i="7"/>
  <c r="G201" i="7"/>
  <c r="E58" i="3"/>
  <c r="E12" i="3"/>
  <c r="F49" i="3"/>
  <c r="E34" i="7"/>
  <c r="H34" i="7" s="1"/>
  <c r="F34" i="7"/>
  <c r="I34" i="7" s="1"/>
  <c r="E38" i="7"/>
  <c r="H38" i="7" s="1"/>
  <c r="F38" i="7"/>
  <c r="I38" i="7" s="1"/>
  <c r="E40" i="7"/>
  <c r="H40" i="7" s="1"/>
  <c r="F40" i="7"/>
  <c r="I40" i="7" s="1"/>
  <c r="E43" i="7"/>
  <c r="E42" i="7" s="1"/>
  <c r="F45" i="7"/>
  <c r="I45" i="7" s="1"/>
  <c r="E57" i="7"/>
  <c r="F58" i="7"/>
  <c r="I58" i="7" s="1"/>
  <c r="E61" i="7"/>
  <c r="H61" i="7" s="1"/>
  <c r="F61" i="7"/>
  <c r="I61" i="7" s="1"/>
  <c r="E63" i="7"/>
  <c r="F64" i="7"/>
  <c r="I64" i="7" s="1"/>
  <c r="E66" i="7"/>
  <c r="E65" i="7" s="1"/>
  <c r="F68" i="7"/>
  <c r="I68" i="7" s="1"/>
  <c r="E91" i="7"/>
  <c r="F91" i="7"/>
  <c r="E95" i="7"/>
  <c r="F95" i="7"/>
  <c r="E97" i="7"/>
  <c r="F97" i="7"/>
  <c r="E100" i="7"/>
  <c r="H100" i="7" s="1"/>
  <c r="F100" i="7"/>
  <c r="I100" i="7" s="1"/>
  <c r="E105" i="7"/>
  <c r="H105" i="7" s="1"/>
  <c r="F105" i="7"/>
  <c r="I105" i="7" s="1"/>
  <c r="E113" i="7"/>
  <c r="F113" i="7"/>
  <c r="E123" i="7"/>
  <c r="H123" i="7" s="1"/>
  <c r="F123" i="7"/>
  <c r="I123" i="7" s="1"/>
  <c r="E150" i="7"/>
  <c r="H150" i="7" s="1"/>
  <c r="F150" i="7"/>
  <c r="I150" i="7" s="1"/>
  <c r="E154" i="7"/>
  <c r="F154" i="7"/>
  <c r="E156" i="7"/>
  <c r="F156" i="7"/>
  <c r="E159" i="7"/>
  <c r="H159" i="7" s="1"/>
  <c r="F159" i="7"/>
  <c r="I159" i="7" s="1"/>
  <c r="E164" i="7"/>
  <c r="F169" i="7"/>
  <c r="E172" i="7"/>
  <c r="H172" i="7" s="1"/>
  <c r="F172" i="7"/>
  <c r="I172" i="7" s="1"/>
  <c r="E184" i="7"/>
  <c r="H184" i="7" s="1"/>
  <c r="F184" i="7"/>
  <c r="I184" i="7" s="1"/>
  <c r="E193" i="7"/>
  <c r="E192" i="7" s="1"/>
  <c r="F193" i="7"/>
  <c r="F192" i="7" s="1"/>
  <c r="E196" i="7"/>
  <c r="F196" i="7"/>
  <c r="E202" i="7"/>
  <c r="H202" i="7" s="1"/>
  <c r="F202" i="7"/>
  <c r="I202" i="7" s="1"/>
  <c r="E209" i="7"/>
  <c r="H209" i="7" s="1"/>
  <c r="F209" i="7"/>
  <c r="I209" i="7" s="1"/>
  <c r="E220" i="7"/>
  <c r="H220" i="7" s="1"/>
  <c r="F220" i="7"/>
  <c r="I220" i="7" s="1"/>
  <c r="E224" i="7"/>
  <c r="F224" i="7"/>
  <c r="E226" i="7"/>
  <c r="F226" i="7"/>
  <c r="H230" i="7"/>
  <c r="F232" i="7"/>
  <c r="I232" i="7" s="1"/>
  <c r="F234" i="7"/>
  <c r="H235" i="7"/>
  <c r="H239" i="7"/>
  <c r="H243" i="7"/>
  <c r="F247" i="7"/>
  <c r="H248" i="7"/>
  <c r="H251" i="7"/>
  <c r="F254" i="7"/>
  <c r="H261" i="7"/>
  <c r="E263" i="7"/>
  <c r="E262" i="7" s="1"/>
  <c r="F263" i="7"/>
  <c r="F262" i="7" s="1"/>
  <c r="E266" i="7"/>
  <c r="F266" i="7"/>
  <c r="F287" i="7"/>
  <c r="F286" i="7" s="1"/>
  <c r="F285" i="7" s="1"/>
  <c r="E329" i="7"/>
  <c r="F330" i="7"/>
  <c r="I330" i="7" s="1"/>
  <c r="E333" i="7"/>
  <c r="H333" i="7" s="1"/>
  <c r="F333" i="7"/>
  <c r="I333" i="7" s="1"/>
  <c r="E335" i="7"/>
  <c r="F336" i="7"/>
  <c r="I336" i="7" s="1"/>
  <c r="E338" i="7"/>
  <c r="E337" i="7" s="1"/>
  <c r="F340" i="7"/>
  <c r="I340" i="7" s="1"/>
  <c r="E352" i="7"/>
  <c r="F353" i="7"/>
  <c r="I353" i="7" s="1"/>
  <c r="E356" i="7"/>
  <c r="H356" i="7" s="1"/>
  <c r="F356" i="7"/>
  <c r="I356" i="7" s="1"/>
  <c r="E358" i="7"/>
  <c r="F359" i="7"/>
  <c r="I359" i="7" s="1"/>
  <c r="E361" i="7"/>
  <c r="F363" i="7"/>
  <c r="I363" i="7" s="1"/>
  <c r="E366" i="7"/>
  <c r="F367" i="7"/>
  <c r="I367" i="7" s="1"/>
  <c r="E374" i="7"/>
  <c r="F374" i="7"/>
  <c r="E385" i="7"/>
  <c r="H385" i="7" s="1"/>
  <c r="F385" i="7"/>
  <c r="I385" i="7" s="1"/>
  <c r="E394" i="7"/>
  <c r="E393" i="7" s="1"/>
  <c r="F394" i="7"/>
  <c r="F393" i="7" s="1"/>
  <c r="E398" i="7"/>
  <c r="E397" i="7" s="1"/>
  <c r="F398" i="7"/>
  <c r="F397" i="7" s="1"/>
  <c r="E403" i="7"/>
  <c r="F403" i="7"/>
  <c r="E410" i="7"/>
  <c r="H410" i="7" s="1"/>
  <c r="F410" i="7"/>
  <c r="I410" i="7" s="1"/>
  <c r="E421" i="7"/>
  <c r="F422" i="7"/>
  <c r="I422" i="7" s="1"/>
  <c r="E425" i="7"/>
  <c r="H425" i="7" s="1"/>
  <c r="F425" i="7"/>
  <c r="I425" i="7" s="1"/>
  <c r="E427" i="7"/>
  <c r="F428" i="7"/>
  <c r="I428" i="7" s="1"/>
  <c r="E430" i="7"/>
  <c r="E429" i="7" s="1"/>
  <c r="F432" i="7"/>
  <c r="I432" i="7" s="1"/>
  <c r="G23" i="3"/>
  <c r="H263" i="7" l="1"/>
  <c r="I193" i="7"/>
  <c r="H192" i="7"/>
  <c r="I192" i="7"/>
  <c r="I113" i="7"/>
  <c r="H113" i="7"/>
  <c r="I398" i="7"/>
  <c r="G78" i="7"/>
  <c r="I79" i="7"/>
  <c r="H79" i="7"/>
  <c r="I97" i="7"/>
  <c r="H97" i="7"/>
  <c r="G285" i="7"/>
  <c r="I286" i="7"/>
  <c r="H286" i="7"/>
  <c r="I263" i="7"/>
  <c r="I394" i="7"/>
  <c r="H262" i="7"/>
  <c r="I262" i="7"/>
  <c r="G200" i="7"/>
  <c r="G90" i="7"/>
  <c r="H398" i="7"/>
  <c r="I287" i="7"/>
  <c r="H394" i="7"/>
  <c r="G99" i="7"/>
  <c r="H91" i="7"/>
  <c r="I91" i="7"/>
  <c r="H193" i="7"/>
  <c r="F12" i="5"/>
  <c r="E48" i="3"/>
  <c r="E116" i="3" s="1"/>
  <c r="G401" i="7"/>
  <c r="I397" i="7"/>
  <c r="H397" i="7"/>
  <c r="F38" i="3"/>
  <c r="E38" i="3"/>
  <c r="F58" i="3"/>
  <c r="F48" i="3" s="1"/>
  <c r="F116" i="3" s="1"/>
  <c r="E11" i="3"/>
  <c r="G22" i="3"/>
  <c r="F430" i="7"/>
  <c r="F429" i="7" s="1"/>
  <c r="G430" i="7"/>
  <c r="F366" i="7"/>
  <c r="G366" i="7"/>
  <c r="F358" i="7"/>
  <c r="G358" i="7"/>
  <c r="F352" i="7"/>
  <c r="G352" i="7"/>
  <c r="F335" i="7"/>
  <c r="G335" i="7"/>
  <c r="F329" i="7"/>
  <c r="G329" i="7"/>
  <c r="F229" i="7"/>
  <c r="F164" i="7"/>
  <c r="G169" i="7"/>
  <c r="F66" i="7"/>
  <c r="F65" i="7" s="1"/>
  <c r="G66" i="7"/>
  <c r="F43" i="7"/>
  <c r="F42" i="7" s="1"/>
  <c r="G43" i="7"/>
  <c r="E254" i="7"/>
  <c r="G254" i="7"/>
  <c r="E234" i="7"/>
  <c r="G234" i="7"/>
  <c r="E229" i="7"/>
  <c r="G229" i="7"/>
  <c r="F242" i="7"/>
  <c r="G242" i="7"/>
  <c r="E351" i="7"/>
  <c r="F427" i="7"/>
  <c r="G427" i="7"/>
  <c r="F421" i="7"/>
  <c r="G421" i="7"/>
  <c r="F361" i="7"/>
  <c r="G361" i="7"/>
  <c r="F338" i="7"/>
  <c r="F337" i="7" s="1"/>
  <c r="G338" i="7"/>
  <c r="F63" i="7"/>
  <c r="G63" i="7"/>
  <c r="F57" i="7"/>
  <c r="G57" i="7"/>
  <c r="F402" i="7"/>
  <c r="F401" i="7" s="1"/>
  <c r="E401" i="7"/>
  <c r="E149" i="7"/>
  <c r="H149" i="7" s="1"/>
  <c r="E99" i="7"/>
  <c r="E89" i="7" s="1"/>
  <c r="E142" i="7" s="1"/>
  <c r="F90" i="7"/>
  <c r="E201" i="7"/>
  <c r="E200" i="7" s="1"/>
  <c r="F219" i="7"/>
  <c r="I219" i="7" s="1"/>
  <c r="F33" i="7"/>
  <c r="F32" i="7" s="1"/>
  <c r="F48" i="7" s="1"/>
  <c r="E402" i="7"/>
  <c r="H402" i="7" s="1"/>
  <c r="E219" i="7"/>
  <c r="H219" i="7" s="1"/>
  <c r="E33" i="7"/>
  <c r="E32" i="7" s="1"/>
  <c r="E48" i="7" s="1"/>
  <c r="E360" i="7"/>
  <c r="E328" i="7"/>
  <c r="E327" i="7" s="1"/>
  <c r="E343" i="7" s="1"/>
  <c r="F158" i="7"/>
  <c r="E90" i="7"/>
  <c r="E420" i="7"/>
  <c r="E419" i="7" s="1"/>
  <c r="E435" i="7" s="1"/>
  <c r="E242" i="7"/>
  <c r="F201" i="7"/>
  <c r="F200" i="7" s="1"/>
  <c r="E158" i="7"/>
  <c r="F149" i="7"/>
  <c r="I149" i="7" s="1"/>
  <c r="F99" i="7"/>
  <c r="E56" i="7"/>
  <c r="E55" i="7" s="1"/>
  <c r="E71" i="7" s="1"/>
  <c r="D19" i="9"/>
  <c r="F228" i="7" l="1"/>
  <c r="E228" i="7"/>
  <c r="F420" i="7"/>
  <c r="F419" i="7" s="1"/>
  <c r="F435" i="7" s="1"/>
  <c r="F328" i="7"/>
  <c r="F327" i="7" s="1"/>
  <c r="F343" i="7" s="1"/>
  <c r="F351" i="7"/>
  <c r="I201" i="7"/>
  <c r="H201" i="7"/>
  <c r="G337" i="7"/>
  <c r="I338" i="7"/>
  <c r="H338" i="7"/>
  <c r="I421" i="7"/>
  <c r="H421" i="7"/>
  <c r="H234" i="7"/>
  <c r="I234" i="7"/>
  <c r="I427" i="7"/>
  <c r="H427" i="7"/>
  <c r="I335" i="7"/>
  <c r="H335" i="7"/>
  <c r="I358" i="7"/>
  <c r="H358" i="7"/>
  <c r="G429" i="7"/>
  <c r="H430" i="7"/>
  <c r="I430" i="7"/>
  <c r="H33" i="7"/>
  <c r="H200" i="7"/>
  <c r="I200" i="7"/>
  <c r="H78" i="7"/>
  <c r="I78" i="7"/>
  <c r="H57" i="7"/>
  <c r="I57" i="7"/>
  <c r="I329" i="7"/>
  <c r="H329" i="7"/>
  <c r="F218" i="7"/>
  <c r="F279" i="7" s="1"/>
  <c r="I242" i="7"/>
  <c r="H242" i="7"/>
  <c r="G164" i="7"/>
  <c r="I169" i="7"/>
  <c r="H169" i="7"/>
  <c r="E148" i="7"/>
  <c r="E212" i="7" s="1"/>
  <c r="E350" i="7"/>
  <c r="E413" i="7" s="1"/>
  <c r="I63" i="7"/>
  <c r="H63" i="7"/>
  <c r="F360" i="7"/>
  <c r="I229" i="7"/>
  <c r="H229" i="7"/>
  <c r="H254" i="7"/>
  <c r="I254" i="7"/>
  <c r="G65" i="7"/>
  <c r="H66" i="7"/>
  <c r="I66" i="7"/>
  <c r="I33" i="7"/>
  <c r="I402" i="7"/>
  <c r="H99" i="7"/>
  <c r="I99" i="7"/>
  <c r="I90" i="7"/>
  <c r="H90" i="7"/>
  <c r="G89" i="7"/>
  <c r="G142" i="7" s="1"/>
  <c r="H285" i="7"/>
  <c r="G289" i="7"/>
  <c r="I285" i="7"/>
  <c r="I366" i="7"/>
  <c r="H366" i="7"/>
  <c r="I352" i="7"/>
  <c r="H352" i="7"/>
  <c r="I401" i="7"/>
  <c r="H401" i="7"/>
  <c r="I361" i="7"/>
  <c r="H361" i="7"/>
  <c r="G42" i="7"/>
  <c r="H42" i="7" s="1"/>
  <c r="I43" i="7"/>
  <c r="H43" i="7"/>
  <c r="E19" i="9"/>
  <c r="F19" i="9"/>
  <c r="G228" i="7"/>
  <c r="G56" i="7"/>
  <c r="G360" i="7"/>
  <c r="F56" i="7"/>
  <c r="F55" i="7" s="1"/>
  <c r="F71" i="7" s="1"/>
  <c r="F350" i="7"/>
  <c r="F413" i="7" s="1"/>
  <c r="G420" i="7"/>
  <c r="G328" i="7"/>
  <c r="G351" i="7"/>
  <c r="F148" i="7"/>
  <c r="F212" i="7" s="1"/>
  <c r="F89" i="7"/>
  <c r="F142" i="7" s="1"/>
  <c r="E218" i="7"/>
  <c r="E279" i="7" s="1"/>
  <c r="G327" i="7" l="1"/>
  <c r="H328" i="7"/>
  <c r="I328" i="7"/>
  <c r="H89" i="7"/>
  <c r="I89" i="7"/>
  <c r="I429" i="7"/>
  <c r="H429" i="7"/>
  <c r="G55" i="7"/>
  <c r="I56" i="7"/>
  <c r="H56" i="7"/>
  <c r="H65" i="7"/>
  <c r="I65" i="7"/>
  <c r="G158" i="7"/>
  <c r="I164" i="7"/>
  <c r="H164" i="7"/>
  <c r="H337" i="7"/>
  <c r="I337" i="7"/>
  <c r="G419" i="7"/>
  <c r="G435" i="7" s="1"/>
  <c r="H420" i="7"/>
  <c r="I420" i="7"/>
  <c r="G218" i="7"/>
  <c r="H228" i="7"/>
  <c r="I228" i="7"/>
  <c r="I289" i="7"/>
  <c r="H289" i="7"/>
  <c r="I351" i="7"/>
  <c r="H351" i="7"/>
  <c r="H360" i="7"/>
  <c r="I360" i="7"/>
  <c r="G32" i="7"/>
  <c r="I42" i="7"/>
  <c r="G350" i="7"/>
  <c r="E13" i="5"/>
  <c r="I435" i="7" l="1"/>
  <c r="H435" i="7"/>
  <c r="G279" i="7"/>
  <c r="I218" i="7"/>
  <c r="H218" i="7"/>
  <c r="G148" i="7"/>
  <c r="H158" i="7"/>
  <c r="I158" i="7"/>
  <c r="H142" i="7"/>
  <c r="I142" i="7"/>
  <c r="I419" i="7"/>
  <c r="H419" i="7"/>
  <c r="G71" i="7"/>
  <c r="H55" i="7"/>
  <c r="I55" i="7"/>
  <c r="G343" i="7"/>
  <c r="I327" i="7"/>
  <c r="H327" i="7"/>
  <c r="G413" i="7"/>
  <c r="I350" i="7"/>
  <c r="H350" i="7"/>
  <c r="H32" i="7"/>
  <c r="I32" i="7"/>
  <c r="G48" i="7"/>
  <c r="D36" i="9"/>
  <c r="D33" i="9"/>
  <c r="D31" i="9"/>
  <c r="D29" i="9"/>
  <c r="D16" i="9"/>
  <c r="D14" i="9"/>
  <c r="D12" i="9"/>
  <c r="I413" i="7" l="1"/>
  <c r="H413" i="7"/>
  <c r="I279" i="7"/>
  <c r="G212" i="7"/>
  <c r="H148" i="7"/>
  <c r="I148" i="7"/>
  <c r="I343" i="7"/>
  <c r="H343" i="7"/>
  <c r="I71" i="7"/>
  <c r="H71" i="7"/>
  <c r="H48" i="7"/>
  <c r="I48" i="7"/>
  <c r="F36" i="9"/>
  <c r="E36" i="9"/>
  <c r="F33" i="9"/>
  <c r="E33" i="9"/>
  <c r="E31" i="9"/>
  <c r="F31" i="9"/>
  <c r="D28" i="9"/>
  <c r="F29" i="9"/>
  <c r="E16" i="9"/>
  <c r="F16" i="9"/>
  <c r="F14" i="9"/>
  <c r="E14" i="9"/>
  <c r="D11" i="9"/>
  <c r="I212" i="7" l="1"/>
  <c r="H212" i="7"/>
  <c r="F28" i="9"/>
  <c r="E28" i="9"/>
  <c r="F11" i="9"/>
  <c r="E11" i="9"/>
  <c r="G13" i="3"/>
  <c r="H13" i="3" l="1"/>
  <c r="I13" i="3"/>
  <c r="G35" i="3"/>
  <c r="G19" i="3"/>
  <c r="G16" i="3"/>
  <c r="G26" i="3"/>
  <c r="G31" i="3"/>
  <c r="G29" i="3"/>
  <c r="G34" i="3" l="1"/>
  <c r="H35" i="3"/>
  <c r="I35" i="3"/>
  <c r="H29" i="3"/>
  <c r="I29" i="3"/>
  <c r="G25" i="3"/>
  <c r="I26" i="3"/>
  <c r="H26" i="3"/>
  <c r="I19" i="3"/>
  <c r="I16" i="3"/>
  <c r="H16" i="3"/>
  <c r="G12" i="3"/>
  <c r="G28" i="3"/>
  <c r="G56" i="3"/>
  <c r="G54" i="3"/>
  <c r="G50" i="3"/>
  <c r="G111" i="3"/>
  <c r="G97" i="3"/>
  <c r="G84" i="3"/>
  <c r="G82" i="3"/>
  <c r="G93" i="3"/>
  <c r="H111" i="3" l="1"/>
  <c r="I111" i="3"/>
  <c r="G96" i="3"/>
  <c r="I97" i="3"/>
  <c r="H97" i="3"/>
  <c r="G92" i="3"/>
  <c r="H93" i="3"/>
  <c r="I93" i="3"/>
  <c r="H84" i="3"/>
  <c r="I84" i="3"/>
  <c r="H56" i="3"/>
  <c r="I56" i="3"/>
  <c r="I54" i="3"/>
  <c r="H54" i="3"/>
  <c r="H50" i="3"/>
  <c r="I50" i="3"/>
  <c r="H34" i="3"/>
  <c r="I34" i="3"/>
  <c r="I28" i="3"/>
  <c r="H28" i="3"/>
  <c r="H25" i="3"/>
  <c r="I25" i="3"/>
  <c r="I12" i="3"/>
  <c r="H12" i="3"/>
  <c r="G38" i="3"/>
  <c r="G11" i="3"/>
  <c r="G49" i="3"/>
  <c r="G72" i="3"/>
  <c r="G64" i="3"/>
  <c r="G104" i="3"/>
  <c r="G59" i="3"/>
  <c r="C12" i="5"/>
  <c r="C11" i="5" s="1"/>
  <c r="B12" i="5"/>
  <c r="B11" i="5" l="1"/>
  <c r="E11" i="5" s="1"/>
  <c r="E12" i="5"/>
  <c r="H96" i="3"/>
  <c r="I96" i="3"/>
  <c r="I92" i="3"/>
  <c r="H92" i="3"/>
  <c r="H72" i="3"/>
  <c r="I72" i="3"/>
  <c r="H64" i="3"/>
  <c r="I64" i="3"/>
  <c r="H59" i="3"/>
  <c r="I59" i="3"/>
  <c r="H49" i="3"/>
  <c r="I49" i="3"/>
  <c r="G101" i="3"/>
  <c r="I11" i="3"/>
  <c r="H11" i="3"/>
  <c r="H38" i="3"/>
  <c r="I38" i="3"/>
  <c r="G58" i="3"/>
  <c r="G100" i="3" l="1"/>
  <c r="H101" i="3"/>
  <c r="I101" i="3"/>
  <c r="G48" i="3"/>
  <c r="I48" i="3" s="1"/>
  <c r="H58" i="3"/>
  <c r="I58" i="3"/>
  <c r="I100" i="3" l="1"/>
  <c r="H100" i="3"/>
  <c r="G116" i="3"/>
  <c r="H116" i="3" s="1"/>
  <c r="H48" i="3"/>
  <c r="I116" i="3" l="1"/>
  <c r="H279" i="7"/>
  <c r="H271" i="7"/>
  <c r="E270" i="7"/>
  <c r="H270" i="7" s="1"/>
  <c r="E295" i="7"/>
  <c r="E320" i="7"/>
  <c r="I320" i="7"/>
  <c r="H320" i="7"/>
  <c r="I296" i="7"/>
  <c r="H296" i="7"/>
  <c r="I295" i="7"/>
  <c r="H295" i="7"/>
  <c r="G296" i="7"/>
  <c r="G295" i="7"/>
  <c r="G320" i="7"/>
  <c r="F296" i="7"/>
  <c r="F295" i="7"/>
  <c r="F320" i="7"/>
</calcChain>
</file>

<file path=xl/sharedStrings.xml><?xml version="1.0" encoding="utf-8"?>
<sst xmlns="http://schemas.openxmlformats.org/spreadsheetml/2006/main" count="778" uniqueCount="194">
  <si>
    <t>PRIHODI UKUPNO</t>
  </si>
  <si>
    <t>PRIHODI POSLOVANJA</t>
  </si>
  <si>
    <t>RASHODI UKUPNO</t>
  </si>
  <si>
    <t>RAZLIKA - VIŠAK / MANJAK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</si>
  <si>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</si>
  <si>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</si>
  <si>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</si>
  <si>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</si>
  <si>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</si>
  <si>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</si>
  <si>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</si>
  <si>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</si>
  <si>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</si>
  <si>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</si>
  <si>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</si>
  <si>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</si>
  <si>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</si>
  <si>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</si>
  <si>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</si>
  <si>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</si>
  <si>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</si>
  <si>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</si>
  <si>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</si>
  <si>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</si>
  <si>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</si>
  <si>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</si>
  <si>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</si>
  <si>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</si>
  <si>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</si>
  <si>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</si>
  <si>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</si>
  <si>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</si>
  <si>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NAZIV PROGRAMA</t>
  </si>
  <si>
    <t>A) SAŽETAK RAČUNA PRIHODA I RASHODA</t>
  </si>
  <si>
    <t>B) SAŽETAK RAČUNA FINANCIRANJA</t>
  </si>
  <si>
    <t>Pomoći iz inozemstva i od subjekata unutar općeg proračuna</t>
  </si>
  <si>
    <t>Ostale pomoći</t>
  </si>
  <si>
    <t>Ostali prihodi za posebne namjene</t>
  </si>
  <si>
    <t>Rashodi za nabavu proizvedene dugotrajne imovine</t>
  </si>
  <si>
    <t>Naziv</t>
  </si>
  <si>
    <t>Plaće (bruto)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</si>
  <si>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</si>
  <si>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</si>
  <si>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</si>
  <si>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</si>
  <si>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</si>
  <si>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</si>
  <si>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</si>
  <si>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</si>
  <si>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</si>
  <si>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>Postrojenja i oprema</t>
  </si>
  <si>
    <t>Knjige, umjetnička djela i ostale izložbene vrijednosti</t>
  </si>
  <si>
    <t>Plaće za redovan rad</t>
  </si>
  <si>
    <t>Plaće za prekovremeni rad</t>
  </si>
  <si>
    <t>Plaće za posebne uvjete rada</t>
  </si>
  <si>
    <t>Ostali rashodi za zapslene</t>
  </si>
  <si>
    <t>Ostali rashodi za zaposlene</t>
  </si>
  <si>
    <t>Dobrinos za obvezno zdravstveno osiguranje</t>
  </si>
  <si>
    <t>Službena putovanja</t>
  </si>
  <si>
    <t>Naknade za prijevoz, ra rad na terenu i odvojeni život</t>
  </si>
  <si>
    <t>Stručno usavršavanje zaposlenika</t>
  </si>
  <si>
    <t>Ostale naknade troškova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</si>
  <si>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</si>
  <si>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</si>
  <si>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</si>
  <si>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</si>
  <si>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</si>
  <si>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 upotrebu</t>
  </si>
  <si>
    <t>Službena , radna i zaštitna odjeća i obuća</t>
  </si>
  <si>
    <t>Usluge telofona, pošte i prijevoza</t>
  </si>
  <si>
    <t>Usluge tekućeg i investicijskog održavanja</t>
  </si>
  <si>
    <t>Usluge promidžbe i informiranja</t>
  </si>
  <si>
    <t>Komunalne usluge</t>
  </si>
  <si>
    <t>Zakupnine i najamnine</t>
  </si>
  <si>
    <t>Zadravstvene i veterinarske usluge</t>
  </si>
  <si>
    <t>Intelektualne i osobne usluge</t>
  </si>
  <si>
    <t>Računalne usluge</t>
  </si>
  <si>
    <t>Ostale usluge</t>
  </si>
  <si>
    <t>Naknada troškova osobama izvan radnog odnosa</t>
  </si>
  <si>
    <t>Ostali nespomenuti rashodi psolovanja</t>
  </si>
  <si>
    <t>Naknade za rad predstavničkih i izvršnih tijela, povjerenstava i slično</t>
  </si>
  <si>
    <t>Premije osiguranja</t>
  </si>
  <si>
    <t>Reprezenatacije</t>
  </si>
  <si>
    <t>Članarine i norme</t>
  </si>
  <si>
    <t>Pristojbe i naknade</t>
  </si>
  <si>
    <t>Troškovi sudskih postupaka</t>
  </si>
  <si>
    <t>Bankarske usluge i usluge platnog prometa</t>
  </si>
  <si>
    <t>Zatezne kamate</t>
  </si>
  <si>
    <t>Naknade građanima i kućanstvima u novcu</t>
  </si>
  <si>
    <t>Naknade građanima i kućanstvima u naravi</t>
  </si>
  <si>
    <t>Uredska oprema i namještaj</t>
  </si>
  <si>
    <t>Komunikacijska oprema</t>
  </si>
  <si>
    <t>Oprema za održavanje i zaštitu</t>
  </si>
  <si>
    <t>Instrumenti uređaji i strojevi</t>
  </si>
  <si>
    <t>Sportska i glazbena oprema</t>
  </si>
  <si>
    <t>Uređaji, strojevi i oprema za ostale namjene</t>
  </si>
  <si>
    <t>Knjige</t>
  </si>
  <si>
    <t>UKUPNO:</t>
  </si>
  <si>
    <t>ŠKOLSTVO1013</t>
  </si>
  <si>
    <t>09 Obrazovanje</t>
  </si>
  <si>
    <t>0912 Osnovno obrazovanje</t>
  </si>
  <si>
    <t>096 Dodatne usluge u obrazovanju</t>
  </si>
  <si>
    <t>098 Usluge obrazovanja koje nisu drugdje
svrstane</t>
  </si>
  <si>
    <t>Pomoći EU</t>
  </si>
  <si>
    <t>Nakn.trošk.osobama izvan rad.odn.</t>
  </si>
  <si>
    <t>Nakn.trošk.osobama izvan radnog odnosa</t>
  </si>
  <si>
    <t>UKUPNO RASHODI</t>
  </si>
  <si>
    <t>Pomoći proračnskim korisnicma iz proračuna koji im nije nadležan</t>
  </si>
  <si>
    <t>Tekuće pomoći proraračnskim korisnicima iz proraučuna koji im nije nadležan</t>
  </si>
  <si>
    <t>Kapitalne pomoći proračunskim korisnicma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</si>
  <si>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</si>
  <si>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</si>
  <si>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</si>
  <si>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Prihodi po posebnim propisima</t>
  </si>
  <si>
    <t>Prihodi od upravnih i administrativnih 
pristojbi, pristojbi po posebnim propisima i naknada</t>
  </si>
  <si>
    <t>Prihodi od prodaje proizvoda i robe te pruženih usluga i prihoda od donacija</t>
  </si>
  <si>
    <t>Prihodi odr prodaje proizvoda i roba te pruženh usluga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</si>
  <si>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</si>
  <si>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</si>
  <si>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</si>
  <si>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</si>
  <si>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</si>
  <si>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</si>
  <si>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</si>
  <si>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neifnancijske imovine</t>
  </si>
  <si>
    <t>UKUPNO PRIHODI</t>
  </si>
  <si>
    <t>Naknade za prijevoz, za rad na terenu i odvojeni život</t>
  </si>
  <si>
    <t>Aktivnost A101314</t>
  </si>
  <si>
    <t>Vlastiti i ostali prihodi</t>
  </si>
  <si>
    <t>Aktivnost A101301</t>
  </si>
  <si>
    <t>Decentralizirana sredstva</t>
  </si>
  <si>
    <t>Osnovno školstvo</t>
  </si>
  <si>
    <t>Ostali izdaci za osnovne škole</t>
  </si>
  <si>
    <t xml:space="preserve">Pomoći proračnunu iz drugih proračuna </t>
  </si>
  <si>
    <t xml:space="preserve">Tekuće pomoći proraračunu iz drugih proračuna </t>
  </si>
  <si>
    <t xml:space="preserve">Kapitalne pomoći proraračunu iz drugih proračuna </t>
  </si>
  <si>
    <t>Ostali nespomenuti prihodi</t>
  </si>
  <si>
    <t xml:space="preserve">  31 Vlastiti prihodi</t>
  </si>
  <si>
    <t>3 Vlastiti prihodi</t>
  </si>
  <si>
    <t xml:space="preserve">  11 Opći prihodi i primici</t>
  </si>
  <si>
    <t>1 Opći prihodi i primici</t>
  </si>
  <si>
    <t>Brojčana oznaka i naziv</t>
  </si>
  <si>
    <t>RASHODI POSLOVANJA PREMA IZVORIMA FINANCIRANJA</t>
  </si>
  <si>
    <t xml:space="preserve">  52 Ostale pomoći</t>
  </si>
  <si>
    <t>5 Pomoći</t>
  </si>
  <si>
    <t xml:space="preserve">  43 Ostali prihodi za posebne namjene</t>
  </si>
  <si>
    <t>4 Prihodi za posebne namjene</t>
  </si>
  <si>
    <t>PRIHODI POSLOVANJA PREMA IZVORIMA FINANCIRANJA</t>
  </si>
  <si>
    <t>44 Decentralizirana sredstva</t>
  </si>
  <si>
    <t xml:space="preserve">  51 Pomoći EU</t>
  </si>
  <si>
    <t xml:space="preserve"> 44 Decentralizirana sredstva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</si>
  <si>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</si>
  <si>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</si>
  <si>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</si>
  <si>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</si>
  <si>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</si>
  <si>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Aktivnost A101319</t>
  </si>
  <si>
    <t>Asistenti u nastavi</t>
  </si>
  <si>
    <t>Aktivnost T100117</t>
  </si>
  <si>
    <t>Projekt ''Škole jednakih mogućnosti''</t>
  </si>
  <si>
    <t>Rashodi za dodatna ulaganja na nefinacijskoj imovini</t>
  </si>
  <si>
    <t>Dodatna ulaganja na građevinskim objektima</t>
  </si>
  <si>
    <t>Prihodi od imovine</t>
  </si>
  <si>
    <t>Prihodi od financijske imovine</t>
  </si>
  <si>
    <t>Kamate na oročena sredstva i depozite po viđenju</t>
  </si>
  <si>
    <t>Aktivnost A101344</t>
  </si>
  <si>
    <t>Izgradnja, rekonstrukcija i opremanje osnovnih i srednjih škola ( NPOO )</t>
  </si>
  <si>
    <t>Kapitalni izdaci za OŠ</t>
  </si>
  <si>
    <t>Građevinski objekti</t>
  </si>
  <si>
    <t>Poslovni objekti</t>
  </si>
  <si>
    <t>Aktivnost A101305</t>
  </si>
  <si>
    <t>OSNOVNA ŠKOLA DR. VINKA ŽGANCA VRATIŠINEC</t>
  </si>
  <si>
    <t xml:space="preserve">Plan tekuće godine </t>
  </si>
  <si>
    <t>Indeks</t>
  </si>
  <si>
    <t>5=4/2*100</t>
  </si>
  <si>
    <t>6=4/3*100</t>
  </si>
  <si>
    <t>PRIHODI OD PRODAJE NEFINANCIJSKE IMOVINE</t>
  </si>
  <si>
    <t>RASHODI  POSLOVANJA</t>
  </si>
  <si>
    <t>RASHODI ZA NABAVU NEFINANCIJSKE IMOVINE</t>
  </si>
  <si>
    <t>Izvršenje prethodne godine</t>
  </si>
  <si>
    <t>Izvršenje tekuće godine</t>
  </si>
  <si>
    <t>PRIMICI OD FINANCIJSKE IMOVINE I ZADUŽIVANJA</t>
  </si>
  <si>
    <t>IZDACI ZA FINANCIJSKU IMOVINU I OTPLATE ZAJMOVA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</si>
  <si>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</si>
  <si>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</si>
  <si>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</si>
  <si>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GODIŠNJI IZVJEŠTAJ O IZVRŠENJU FINANCIJSKOG PLANA ZA 2024. g.</t>
  </si>
  <si>
    <t xml:space="preserve">                                    GODIŠNJI IZVJEŠTAJ O IZVRŠENJU FINANCIJSKOG PLANA ZA 2024. g.</t>
  </si>
  <si>
    <t>Izvršenje prethodne godine do 31.12.2023.</t>
  </si>
  <si>
    <t>Izvršenje tekuće godine 31.12.2024.</t>
  </si>
  <si>
    <t>Aktivnost A101330</t>
  </si>
  <si>
    <t>Projekt e-škole</t>
  </si>
  <si>
    <t>Aktivnost T100103</t>
  </si>
  <si>
    <t>Projekt ''Školski obroci svima''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</si>
</sst>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3" fontId="2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5" fillId="2" borderId="3" xfId="0" applyNumberFormat="1" applyFont="1" applyFill="1" applyBorder="1" applyAlignment="1" applyProtection="1">
      <alignment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2" fillId="5" borderId="1" xfId="0" applyNumberFormat="1" applyFont="1" applyFill="1" applyBorder="1" applyAlignment="1" applyProtection="1">
      <alignment horizontal="left" vertical="center" wrapText="1" indent="1"/>
    </xf>
    <xf numFmtId="0" fontId="2" fillId="5" borderId="2" xfId="0" applyNumberFormat="1" applyFont="1" applyFill="1" applyBorder="1" applyAlignment="1" applyProtection="1">
      <alignment horizontal="left" vertical="center" wrapText="1" indent="1"/>
    </xf>
    <xf numFmtId="0" fontId="2" fillId="5" borderId="4" xfId="0" applyNumberFormat="1" applyFont="1" applyFill="1" applyBorder="1" applyAlignment="1" applyProtection="1">
      <alignment horizontal="left" vertical="center" wrapText="1" indent="1"/>
    </xf>
    <xf numFmtId="0" fontId="2" fillId="5" borderId="4" xfId="0" applyNumberFormat="1" applyFont="1" applyFill="1" applyBorder="1" applyAlignment="1" applyProtection="1">
      <alignment horizontal="left" vertical="center" wrapText="1"/>
    </xf>
    <xf numFmtId="0" fontId="4" fillId="6" borderId="4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4" fillId="6" borderId="1" xfId="0" applyNumberFormat="1" applyFont="1" applyFill="1" applyBorder="1" applyAlignment="1" applyProtection="1">
      <alignment horizontal="left" vertical="center" wrapText="1" indent="1"/>
    </xf>
    <xf numFmtId="0" fontId="4" fillId="6" borderId="2" xfId="0" applyNumberFormat="1" applyFont="1" applyFill="1" applyBorder="1" applyAlignment="1" applyProtection="1">
      <alignment horizontal="left" vertical="center" wrapText="1" indent="1"/>
    </xf>
    <xf numFmtId="0" fontId="4" fillId="6" borderId="4" xfId="0" applyNumberFormat="1" applyFont="1" applyFill="1" applyBorder="1" applyAlignment="1" applyProtection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/>
    </xf>
    <xf numFmtId="0" fontId="5" fillId="5" borderId="3" xfId="0" quotePrefix="1" applyFont="1" applyFill="1" applyBorder="1" applyAlignment="1">
      <alignment horizontal="left" vertical="center"/>
    </xf>
    <xf numFmtId="0" fontId="6" fillId="5" borderId="3" xfId="0" quotePrefix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 applyProtection="1">
      <alignment horizontal="left" vertical="center" wrapText="1"/>
    </xf>
    <xf numFmtId="0" fontId="5" fillId="5" borderId="3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5" fillId="7" borderId="3" xfId="0" applyNumberFormat="1" applyFont="1" applyFill="1" applyBorder="1" applyAlignment="1" applyProtection="1">
      <alignment horizontal="left" vertical="center" wrapText="1"/>
    </xf>
    <xf numFmtId="0" fontId="5" fillId="7" borderId="3" xfId="0" quotePrefix="1" applyFont="1" applyFill="1" applyBorder="1" applyAlignment="1">
      <alignment horizontal="left" vertical="center"/>
    </xf>
    <xf numFmtId="0" fontId="6" fillId="7" borderId="3" xfId="0" quotePrefix="1" applyFont="1" applyFill="1" applyBorder="1" applyAlignment="1">
      <alignment horizontal="left" vertical="center"/>
    </xf>
    <xf numFmtId="0" fontId="7" fillId="8" borderId="3" xfId="0" applyNumberFormat="1" applyFont="1" applyFill="1" applyBorder="1" applyAlignment="1" applyProtection="1">
      <alignment horizontal="left" vertical="center" wrapText="1"/>
    </xf>
    <xf numFmtId="0" fontId="5" fillId="8" borderId="3" xfId="0" applyNumberFormat="1" applyFont="1" applyFill="1" applyBorder="1" applyAlignment="1" applyProtection="1">
      <alignment horizontal="left" vertical="center" wrapText="1"/>
    </xf>
    <xf numFmtId="0" fontId="5" fillId="8" borderId="1" xfId="0" applyNumberFormat="1" applyFont="1" applyFill="1" applyBorder="1" applyAlignment="1" applyProtection="1">
      <alignment horizontal="left" vertical="center" wrapText="1"/>
    </xf>
    <xf numFmtId="0" fontId="5" fillId="8" borderId="3" xfId="0" quotePrefix="1" applyFont="1" applyFill="1" applyBorder="1" applyAlignment="1">
      <alignment horizontal="left" vertical="center"/>
    </xf>
    <xf numFmtId="0" fontId="6" fillId="8" borderId="3" xfId="0" quotePrefix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5" fillId="6" borderId="3" xfId="0" applyNumberFormat="1" applyFont="1" applyFill="1" applyBorder="1" applyAlignment="1" applyProtection="1">
      <alignment horizontal="left" vertical="center" wrapText="1"/>
    </xf>
    <xf numFmtId="0" fontId="7" fillId="6" borderId="3" xfId="0" quotePrefix="1" applyFont="1" applyFill="1" applyBorder="1" applyAlignment="1">
      <alignment horizontal="left" vertical="center"/>
    </xf>
    <xf numFmtId="0" fontId="12" fillId="6" borderId="3" xfId="0" quotePrefix="1" applyFont="1" applyFill="1" applyBorder="1" applyAlignment="1">
      <alignment horizontal="left" vertical="center"/>
    </xf>
    <xf numFmtId="0" fontId="7" fillId="6" borderId="4" xfId="0" quotePrefix="1" applyFont="1" applyFill="1" applyBorder="1" applyAlignment="1">
      <alignment horizontal="left" vertical="center" wrapText="1"/>
    </xf>
    <xf numFmtId="0" fontId="7" fillId="6" borderId="3" xfId="0" applyNumberFormat="1" applyFont="1" applyFill="1" applyBorder="1" applyAlignment="1" applyProtection="1">
      <alignment horizontal="left" vertical="center" wrapText="1"/>
    </xf>
    <xf numFmtId="0" fontId="7" fillId="6" borderId="4" xfId="0" quotePrefix="1" applyFont="1" applyFill="1" applyBorder="1" applyAlignment="1">
      <alignment horizontal="left" vertical="center"/>
    </xf>
    <xf numFmtId="0" fontId="0" fillId="0" borderId="0" xfId="0" applyBorder="1"/>
    <xf numFmtId="2" fontId="2" fillId="2" borderId="4" xfId="0" applyNumberFormat="1" applyFont="1" applyFill="1" applyBorder="1" applyAlignment="1">
      <alignment horizontal="right"/>
    </xf>
    <xf numFmtId="2" fontId="4" fillId="6" borderId="4" xfId="0" applyNumberFormat="1" applyFont="1" applyFill="1" applyBorder="1" applyAlignment="1">
      <alignment horizontal="right"/>
    </xf>
    <xf numFmtId="2" fontId="2" fillId="5" borderId="4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4" fillId="6" borderId="1" xfId="0" applyNumberFormat="1" applyFont="1" applyFill="1" applyBorder="1" applyAlignment="1" applyProtection="1">
      <alignment horizontal="left" vertical="center" wrapText="1" indent="1"/>
    </xf>
    <xf numFmtId="0" fontId="4" fillId="6" borderId="2" xfId="0" applyNumberFormat="1" applyFont="1" applyFill="1" applyBorder="1" applyAlignment="1" applyProtection="1">
      <alignment horizontal="left" vertical="center" wrapText="1" indent="1"/>
    </xf>
    <xf numFmtId="0" fontId="4" fillId="6" borderId="4" xfId="0" applyNumberFormat="1" applyFont="1" applyFill="1" applyBorder="1" applyAlignment="1" applyProtection="1">
      <alignment horizontal="left" vertical="center" wrapText="1" indent="1"/>
    </xf>
    <xf numFmtId="4" fontId="4" fillId="6" borderId="4" xfId="0" applyNumberFormat="1" applyFon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3" fillId="5" borderId="1" xfId="0" applyFont="1" applyFill="1" applyBorder="1"/>
    <xf numFmtId="0" fontId="13" fillId="0" borderId="1" xfId="0" applyFont="1" applyBorder="1"/>
    <xf numFmtId="0" fontId="13" fillId="0" borderId="3" xfId="0" applyFont="1" applyBorder="1"/>
    <xf numFmtId="0" fontId="13" fillId="0" borderId="3" xfId="0" applyFont="1" applyBorder="1" applyAlignment="1">
      <alignment horizontal="left"/>
    </xf>
    <xf numFmtId="0" fontId="13" fillId="5" borderId="3" xfId="0" applyFont="1" applyFill="1" applyBorder="1"/>
    <xf numFmtId="0" fontId="13" fillId="5" borderId="3" xfId="0" applyFont="1" applyFill="1" applyBorder="1" applyAlignment="1">
      <alignment horizontal="left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left"/>
    </xf>
    <xf numFmtId="0" fontId="13" fillId="8" borderId="3" xfId="0" applyFont="1" applyFill="1" applyBorder="1"/>
    <xf numFmtId="0" fontId="13" fillId="8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4" fontId="0" fillId="8" borderId="3" xfId="0" applyNumberFormat="1" applyFill="1" applyBorder="1"/>
    <xf numFmtId="4" fontId="2" fillId="5" borderId="3" xfId="0" applyNumberFormat="1" applyFont="1" applyFill="1" applyBorder="1" applyAlignment="1">
      <alignment horizontal="right"/>
    </xf>
    <xf numFmtId="4" fontId="2" fillId="7" borderId="4" xfId="0" applyNumberFormat="1" applyFont="1" applyFill="1" applyBorder="1" applyAlignment="1">
      <alignment horizontal="right"/>
    </xf>
    <xf numFmtId="4" fontId="2" fillId="6" borderId="4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Font="1" applyFill="1" applyBorder="1" applyAlignment="1">
      <alignment horizontal="left" vertical="center"/>
    </xf>
    <xf numFmtId="0" fontId="12" fillId="2" borderId="0" xfId="0" quotePrefix="1" applyFont="1" applyFill="1" applyBorder="1" applyAlignment="1">
      <alignment horizontal="left" vertical="center"/>
    </xf>
    <xf numFmtId="4" fontId="4" fillId="2" borderId="0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vertical="center" wrapText="1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4" fillId="5" borderId="3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4" fontId="4" fillId="3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4" fillId="6" borderId="1" xfId="0" applyNumberFormat="1" applyFont="1" applyFill="1" applyBorder="1" applyAlignment="1" applyProtection="1">
      <alignment horizontal="left" vertical="center" wrapText="1" indent="1"/>
    </xf>
    <xf numFmtId="0" fontId="4" fillId="6" borderId="2" xfId="0" applyNumberFormat="1" applyFont="1" applyFill="1" applyBorder="1" applyAlignment="1" applyProtection="1">
      <alignment horizontal="left" vertical="center" wrapText="1" indent="1"/>
    </xf>
    <xf numFmtId="0" fontId="4" fillId="6" borderId="4" xfId="0" applyNumberFormat="1" applyFont="1" applyFill="1" applyBorder="1" applyAlignment="1" applyProtection="1">
      <alignment horizontal="left" vertical="center" wrapText="1" indent="1"/>
    </xf>
    <xf numFmtId="0" fontId="0" fillId="0" borderId="3" xfId="0" applyBorder="1"/>
    <xf numFmtId="0" fontId="15" fillId="0" borderId="0" xfId="0" applyFont="1"/>
    <xf numFmtId="0" fontId="2" fillId="9" borderId="4" xfId="0" applyNumberFormat="1" applyFont="1" applyFill="1" applyBorder="1" applyAlignment="1" applyProtection="1">
      <alignment horizontal="left" vertical="center" wrapText="1"/>
    </xf>
    <xf numFmtId="4" fontId="2" fillId="9" borderId="4" xfId="0" applyNumberFormat="1" applyFont="1" applyFill="1" applyBorder="1" applyAlignment="1">
      <alignment horizontal="right"/>
    </xf>
    <xf numFmtId="2" fontId="2" fillId="9" borderId="4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 applyProtection="1">
      <alignment vertical="center" wrapText="1"/>
    </xf>
    <xf numFmtId="0" fontId="4" fillId="6" borderId="1" xfId="0" applyNumberFormat="1" applyFont="1" applyFill="1" applyBorder="1" applyAlignment="1" applyProtection="1">
      <alignment horizontal="left" vertical="center" wrapText="1" indent="1"/>
    </xf>
    <xf numFmtId="0" fontId="2" fillId="5" borderId="3" xfId="0" applyNumberFormat="1" applyFont="1" applyFill="1" applyBorder="1" applyAlignment="1" applyProtection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2" fillId="6" borderId="3" xfId="0" applyNumberFormat="1" applyFont="1" applyFill="1" applyBorder="1" applyAlignment="1" applyProtection="1">
      <alignment horizontal="left" vertical="center" wrapText="1"/>
    </xf>
    <xf numFmtId="0" fontId="2" fillId="6" borderId="4" xfId="0" applyNumberFormat="1" applyFont="1" applyFill="1" applyBorder="1" applyAlignment="1" applyProtection="1">
      <alignment horizontal="left" vertical="center" wrapText="1" indent="1"/>
    </xf>
    <xf numFmtId="0" fontId="2" fillId="6" borderId="4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>
      <alignment horizontal="right"/>
    </xf>
    <xf numFmtId="4" fontId="13" fillId="8" borderId="3" xfId="0" applyNumberFormat="1" applyFont="1" applyFill="1" applyBorder="1"/>
    <xf numFmtId="4" fontId="2" fillId="2" borderId="3" xfId="0" applyNumberFormat="1" applyFont="1" applyFill="1" applyBorder="1" applyAlignment="1">
      <alignment horizontal="right"/>
    </xf>
    <xf numFmtId="4" fontId="2" fillId="5" borderId="3" xfId="0" applyNumberFormat="1" applyFont="1" applyFill="1" applyBorder="1" applyAlignment="1" applyProtection="1">
      <alignment horizontal="right" wrapText="1"/>
    </xf>
    <xf numFmtId="4" fontId="2" fillId="2" borderId="3" xfId="0" applyNumberFormat="1" applyFont="1" applyFill="1" applyBorder="1" applyAlignment="1" applyProtection="1">
      <alignment horizontal="right" wrapText="1"/>
    </xf>
    <xf numFmtId="4" fontId="13" fillId="5" borderId="3" xfId="0" applyNumberFormat="1" applyFont="1" applyFill="1" applyBorder="1"/>
    <xf numFmtId="4" fontId="13" fillId="0" borderId="3" xfId="0" applyNumberFormat="1" applyFont="1" applyBorder="1"/>
    <xf numFmtId="4" fontId="13" fillId="2" borderId="3" xfId="0" applyNumberFormat="1" applyFont="1" applyFill="1" applyBorder="1"/>
    <xf numFmtId="4" fontId="2" fillId="5" borderId="3" xfId="0" applyNumberFormat="1" applyFont="1" applyFill="1" applyBorder="1" applyAlignment="1" applyProtection="1">
      <alignment horizontal="righ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9" fillId="0" borderId="0" xfId="0" applyFont="1"/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left" wrapText="1"/>
    </xf>
    <xf numFmtId="0" fontId="17" fillId="0" borderId="0" xfId="0" applyNumberFormat="1" applyFont="1" applyFill="1" applyBorder="1" applyAlignment="1" applyProtection="1">
      <alignment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2" fontId="18" fillId="0" borderId="3" xfId="0" applyNumberFormat="1" applyFont="1" applyBorder="1"/>
    <xf numFmtId="2" fontId="9" fillId="0" borderId="3" xfId="0" applyNumberFormat="1" applyFont="1" applyBorder="1"/>
    <xf numFmtId="0" fontId="19" fillId="3" borderId="1" xfId="0" applyFont="1" applyFill="1" applyBorder="1" applyAlignment="1">
      <alignment horizontal="left" vertical="center"/>
    </xf>
    <xf numFmtId="0" fontId="14" fillId="3" borderId="2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/>
    <xf numFmtId="0" fontId="16" fillId="0" borderId="1" xfId="0" quotePrefix="1" applyFont="1" applyBorder="1" applyAlignment="1">
      <alignment horizontal="left" wrapText="1"/>
    </xf>
    <xf numFmtId="0" fontId="16" fillId="0" borderId="2" xfId="0" quotePrefix="1" applyFont="1" applyBorder="1" applyAlignment="1">
      <alignment horizontal="left" wrapText="1"/>
    </xf>
    <xf numFmtId="0" fontId="16" fillId="0" borderId="2" xfId="0" quotePrefix="1" applyFont="1" applyBorder="1" applyAlignment="1">
      <alignment horizontal="center" wrapText="1"/>
    </xf>
    <xf numFmtId="0" fontId="16" fillId="0" borderId="2" xfId="0" quotePrefix="1" applyNumberFormat="1" applyFont="1" applyFill="1" applyBorder="1" applyAlignment="1" applyProtection="1">
      <alignment horizontal="left"/>
    </xf>
    <xf numFmtId="3" fontId="16" fillId="0" borderId="3" xfId="0" applyNumberFormat="1" applyFont="1" applyBorder="1" applyAlignment="1">
      <alignment horizontal="right"/>
    </xf>
    <xf numFmtId="0" fontId="9" fillId="0" borderId="3" xfId="0" applyFont="1" applyBorder="1"/>
    <xf numFmtId="3" fontId="16" fillId="3" borderId="3" xfId="0" applyNumberFormat="1" applyFont="1" applyFill="1" applyBorder="1" applyAlignment="1">
      <alignment horizontal="right"/>
    </xf>
    <xf numFmtId="0" fontId="16" fillId="0" borderId="0" xfId="0" quotePrefix="1" applyNumberFormat="1" applyFont="1" applyFill="1" applyBorder="1" applyAlignment="1" applyProtection="1">
      <alignment horizontal="center" vertical="center" wrapText="1"/>
    </xf>
    <xf numFmtId="3" fontId="16" fillId="4" borderId="1" xfId="0" quotePrefix="1" applyNumberFormat="1" applyFont="1" applyFill="1" applyBorder="1" applyAlignment="1">
      <alignment horizontal="right"/>
    </xf>
    <xf numFmtId="4" fontId="16" fillId="3" borderId="1" xfId="0" quotePrefix="1" applyNumberFormat="1" applyFont="1" applyFill="1" applyBorder="1" applyAlignment="1">
      <alignment horizontal="right"/>
    </xf>
    <xf numFmtId="0" fontId="19" fillId="0" borderId="0" xfId="0" quotePrefix="1" applyNumberFormat="1" applyFont="1" applyFill="1" applyBorder="1" applyAlignment="1" applyProtection="1">
      <alignment horizontal="left" wrapText="1"/>
    </xf>
    <xf numFmtId="0" fontId="14" fillId="0" borderId="0" xfId="0" applyNumberFormat="1" applyFont="1" applyFill="1" applyBorder="1" applyAlignment="1" applyProtection="1">
      <alignment wrapText="1"/>
    </xf>
    <xf numFmtId="3" fontId="16" fillId="0" borderId="0" xfId="0" applyNumberFormat="1" applyFont="1" applyBorder="1" applyAlignment="1">
      <alignment horizontal="right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3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" fontId="22" fillId="10" borderId="3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3" fontId="24" fillId="10" borderId="3" xfId="0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3" fontId="5" fillId="1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3" fontId="12" fillId="10" borderId="3" xfId="0" applyNumberFormat="1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/>
    <xf numFmtId="0" fontId="4" fillId="9" borderId="3" xfId="0" applyNumberFormat="1" applyFont="1" applyFill="1" applyBorder="1" applyAlignment="1" applyProtection="1">
      <alignment horizontal="left" vertical="center" wrapText="1"/>
    </xf>
    <xf numFmtId="4" fontId="4" fillId="9" borderId="4" xfId="0" applyNumberFormat="1" applyFont="1" applyFill="1" applyBorder="1" applyAlignment="1" applyProtection="1">
      <alignment horizontal="center" vertical="center" wrapText="1"/>
    </xf>
    <xf numFmtId="2" fontId="0" fillId="0" borderId="3" xfId="0" applyNumberFormat="1" applyBorder="1"/>
    <xf numFmtId="2" fontId="0" fillId="9" borderId="3" xfId="0" applyNumberFormat="1" applyFill="1" applyBorder="1"/>
    <xf numFmtId="2" fontId="0" fillId="5" borderId="3" xfId="0" applyNumberFormat="1" applyFill="1" applyBorder="1"/>
    <xf numFmtId="0" fontId="4" fillId="11" borderId="3" xfId="0" applyNumberFormat="1" applyFont="1" applyFill="1" applyBorder="1" applyAlignment="1" applyProtection="1">
      <alignment horizontal="left" vertical="center" wrapText="1"/>
    </xf>
    <xf numFmtId="0" fontId="4" fillId="11" borderId="4" xfId="0" applyNumberFormat="1" applyFont="1" applyFill="1" applyBorder="1" applyAlignment="1" applyProtection="1">
      <alignment horizontal="left" vertical="center" wrapText="1"/>
    </xf>
    <xf numFmtId="4" fontId="4" fillId="11" borderId="4" xfId="0" applyNumberFormat="1" applyFont="1" applyFill="1" applyBorder="1" applyAlignment="1">
      <alignment horizontal="right"/>
    </xf>
    <xf numFmtId="2" fontId="2" fillId="11" borderId="3" xfId="0" applyNumberFormat="1" applyFont="1" applyFill="1" applyBorder="1" applyAlignment="1" applyProtection="1">
      <alignment horizontal="center" vertical="center" wrapText="1"/>
    </xf>
    <xf numFmtId="0" fontId="7" fillId="11" borderId="3" xfId="0" applyNumberFormat="1" applyFont="1" applyFill="1" applyBorder="1" applyAlignment="1" applyProtection="1">
      <alignment horizontal="left" vertical="center" wrapText="1"/>
    </xf>
    <xf numFmtId="0" fontId="7" fillId="11" borderId="3" xfId="0" quotePrefix="1" applyFont="1" applyFill="1" applyBorder="1" applyAlignment="1">
      <alignment horizontal="left" vertical="center"/>
    </xf>
    <xf numFmtId="0" fontId="12" fillId="11" borderId="3" xfId="0" quotePrefix="1" applyFont="1" applyFill="1" applyBorder="1" applyAlignment="1">
      <alignment horizontal="left" vertical="center"/>
    </xf>
    <xf numFmtId="4" fontId="4" fillId="11" borderId="3" xfId="0" applyNumberFormat="1" applyFont="1" applyFill="1" applyBorder="1" applyAlignment="1">
      <alignment horizontal="right"/>
    </xf>
    <xf numFmtId="0" fontId="13" fillId="11" borderId="3" xfId="0" applyFont="1" applyFill="1" applyBorder="1"/>
    <xf numFmtId="0" fontId="13" fillId="11" borderId="3" xfId="0" applyFont="1" applyFill="1" applyBorder="1" applyAlignment="1">
      <alignment horizontal="left"/>
    </xf>
    <xf numFmtId="4" fontId="13" fillId="11" borderId="3" xfId="0" applyNumberFormat="1" applyFont="1" applyFill="1" applyBorder="1"/>
    <xf numFmtId="2" fontId="2" fillId="6" borderId="3" xfId="0" applyNumberFormat="1" applyFont="1" applyFill="1" applyBorder="1" applyAlignment="1" applyProtection="1">
      <alignment horizontal="center" vertical="center" wrapText="1"/>
    </xf>
    <xf numFmtId="2" fontId="2" fillId="5" borderId="3" xfId="0" applyNumberFormat="1" applyFont="1" applyFill="1" applyBorder="1" applyAlignment="1" applyProtection="1">
      <alignment horizontal="center" vertical="center" wrapText="1"/>
    </xf>
    <xf numFmtId="0" fontId="0" fillId="5" borderId="3" xfId="0" applyFill="1" applyBorder="1"/>
    <xf numFmtId="0" fontId="4" fillId="12" borderId="4" xfId="0" applyNumberFormat="1" applyFont="1" applyFill="1" applyBorder="1" applyAlignment="1" applyProtection="1">
      <alignment horizontal="left" vertical="center" wrapText="1"/>
    </xf>
    <xf numFmtId="2" fontId="4" fillId="12" borderId="4" xfId="0" applyNumberFormat="1" applyFont="1" applyFill="1" applyBorder="1" applyAlignment="1">
      <alignment horizontal="right"/>
    </xf>
    <xf numFmtId="4" fontId="4" fillId="12" borderId="4" xfId="0" applyNumberFormat="1" applyFont="1" applyFill="1" applyBorder="1" applyAlignment="1">
      <alignment horizontal="right"/>
    </xf>
    <xf numFmtId="0" fontId="0" fillId="6" borderId="3" xfId="0" applyFill="1" applyBorder="1"/>
    <xf numFmtId="0" fontId="4" fillId="12" borderId="1" xfId="0" applyNumberFormat="1" applyFont="1" applyFill="1" applyBorder="1" applyAlignment="1" applyProtection="1">
      <alignment horizontal="left" vertical="center" wrapText="1" indent="1"/>
    </xf>
    <xf numFmtId="0" fontId="4" fillId="12" borderId="2" xfId="0" applyNumberFormat="1" applyFont="1" applyFill="1" applyBorder="1" applyAlignment="1" applyProtection="1">
      <alignment horizontal="left" vertical="center" wrapText="1" indent="1"/>
    </xf>
    <xf numFmtId="0" fontId="4" fillId="12" borderId="4" xfId="0" applyNumberFormat="1" applyFont="1" applyFill="1" applyBorder="1" applyAlignment="1" applyProtection="1">
      <alignment horizontal="left" vertical="center" wrapText="1" indent="1"/>
    </xf>
    <xf numFmtId="2" fontId="0" fillId="12" borderId="3" xfId="0" applyNumberFormat="1" applyFill="1" applyBorder="1"/>
    <xf numFmtId="2" fontId="0" fillId="6" borderId="3" xfId="0" applyNumberFormat="1" applyFill="1" applyBorder="1"/>
    <xf numFmtId="2" fontId="0" fillId="0" borderId="3" xfId="0" applyNumberFormat="1" applyFill="1" applyBorder="1"/>
    <xf numFmtId="0" fontId="4" fillId="6" borderId="1" xfId="0" applyNumberFormat="1" applyFont="1" applyFill="1" applyBorder="1" applyAlignment="1" applyProtection="1">
      <alignment horizontal="left" vertical="center" wrapText="1" indent="1"/>
    </xf>
    <xf numFmtId="0" fontId="4" fillId="6" borderId="2" xfId="0" applyNumberFormat="1" applyFont="1" applyFill="1" applyBorder="1" applyAlignment="1" applyProtection="1">
      <alignment horizontal="left" vertical="center" wrapText="1" indent="1"/>
    </xf>
    <xf numFmtId="0" fontId="4" fillId="6" borderId="4" xfId="0" applyNumberFormat="1" applyFont="1" applyFill="1" applyBorder="1" applyAlignment="1" applyProtection="1">
      <alignment horizontal="left" vertical="center" wrapText="1" inden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4" fillId="12" borderId="4" xfId="0" applyNumberFormat="1" applyFont="1" applyFill="1" applyBorder="1" applyAlignment="1" applyProtection="1">
      <alignment horizontal="left" vertical="center" wrapText="1"/>
    </xf>
    <xf numFmtId="2" fontId="0" fillId="2" borderId="3" xfId="0" applyNumberFormat="1" applyFill="1" applyBorder="1"/>
    <xf numFmtId="2" fontId="0" fillId="2" borderId="0" xfId="0" applyNumberFormat="1" applyFill="1" applyBorder="1"/>
    <xf numFmtId="0" fontId="19" fillId="0" borderId="1" xfId="0" quotePrefix="1" applyNumberFormat="1" applyFont="1" applyFill="1" applyBorder="1" applyAlignment="1" applyProtection="1">
      <alignment horizontal="left" vertical="center" wrapText="1"/>
    </xf>
    <xf numFmtId="0" fontId="14" fillId="0" borderId="2" xfId="0" applyNumberFormat="1" applyFont="1" applyFill="1" applyBorder="1" applyAlignment="1" applyProtection="1">
      <alignment vertical="center" wrapText="1"/>
    </xf>
    <xf numFmtId="0" fontId="19" fillId="0" borderId="1" xfId="0" quotePrefix="1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 applyProtection="1">
      <alignment vertical="center"/>
    </xf>
    <xf numFmtId="0" fontId="19" fillId="0" borderId="1" xfId="0" quotePrefix="1" applyFont="1" applyBorder="1" applyAlignment="1">
      <alignment horizontal="left" vertical="center"/>
    </xf>
    <xf numFmtId="0" fontId="19" fillId="3" borderId="1" xfId="0" quotePrefix="1" applyNumberFormat="1" applyFont="1" applyFill="1" applyBorder="1" applyAlignment="1" applyProtection="1">
      <alignment horizontal="left" vertical="center" wrapText="1"/>
    </xf>
    <xf numFmtId="0" fontId="14" fillId="3" borderId="2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16" fillId="4" borderId="1" xfId="0" applyNumberFormat="1" applyFont="1" applyFill="1" applyBorder="1" applyAlignment="1" applyProtection="1">
      <alignment horizontal="left" vertical="center" wrapText="1"/>
    </xf>
    <xf numFmtId="0" fontId="16" fillId="4" borderId="2" xfId="0" applyNumberFormat="1" applyFont="1" applyFill="1" applyBorder="1" applyAlignment="1" applyProtection="1">
      <alignment horizontal="left" vertical="center" wrapText="1"/>
    </xf>
    <xf numFmtId="0" fontId="16" fillId="4" borderId="4" xfId="0" applyNumberFormat="1" applyFont="1" applyFill="1" applyBorder="1" applyAlignment="1" applyProtection="1">
      <alignment horizontal="left" vertical="center" wrapText="1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16" fillId="3" borderId="2" xfId="0" applyNumberFormat="1" applyFont="1" applyFill="1" applyBorder="1" applyAlignment="1" applyProtection="1">
      <alignment horizontal="left" vertical="center" wrapText="1"/>
    </xf>
    <xf numFmtId="0" fontId="16" fillId="3" borderId="4" xfId="0" applyNumberFormat="1" applyFont="1" applyFill="1" applyBorder="1" applyAlignment="1" applyProtection="1">
      <alignment horizontal="left" vertical="center" wrapText="1"/>
    </xf>
    <xf numFmtId="0" fontId="16" fillId="0" borderId="1" xfId="0" quotePrefix="1" applyFont="1" applyBorder="1" applyAlignment="1">
      <alignment horizontal="left" wrapText="1"/>
    </xf>
    <xf numFmtId="0" fontId="0" fillId="0" borderId="2" xfId="0" applyBorder="1" applyAlignment="1"/>
    <xf numFmtId="0" fontId="0" fillId="0" borderId="4" xfId="0" applyBorder="1" applyAlignment="1"/>
    <xf numFmtId="0" fontId="16" fillId="0" borderId="1" xfId="0" quotePrefix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3" borderId="1" xfId="0" applyNumberFormat="1" applyFont="1" applyFill="1" applyBorder="1" applyAlignment="1" applyProtection="1">
      <alignment horizontal="left" vertical="center" wrapText="1"/>
    </xf>
    <xf numFmtId="0" fontId="14" fillId="3" borderId="2" xfId="0" applyNumberFormat="1" applyFont="1" applyFill="1" applyBorder="1" applyAlignment="1" applyProtection="1">
      <alignment vertical="center"/>
    </xf>
    <xf numFmtId="0" fontId="22" fillId="10" borderId="3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4" fillId="12" borderId="1" xfId="0" applyNumberFormat="1" applyFont="1" applyFill="1" applyBorder="1" applyAlignment="1" applyProtection="1">
      <alignment horizontal="left" vertical="center" wrapText="1"/>
    </xf>
    <xf numFmtId="0" fontId="4" fillId="12" borderId="2" xfId="0" applyNumberFormat="1" applyFont="1" applyFill="1" applyBorder="1" applyAlignment="1" applyProtection="1">
      <alignment horizontal="left" vertical="center" wrapText="1"/>
    </xf>
    <xf numFmtId="0" fontId="4" fillId="12" borderId="4" xfId="0" applyNumberFormat="1" applyFont="1" applyFill="1" applyBorder="1" applyAlignment="1" applyProtection="1">
      <alignment horizontal="left" vertical="center" wrapText="1"/>
    </xf>
    <xf numFmtId="0" fontId="4" fillId="6" borderId="1" xfId="0" applyNumberFormat="1" applyFont="1" applyFill="1" applyBorder="1" applyAlignment="1" applyProtection="1">
      <alignment horizontal="left" vertical="center" wrapText="1" indent="1"/>
    </xf>
    <xf numFmtId="0" fontId="4" fillId="6" borderId="2" xfId="0" applyNumberFormat="1" applyFont="1" applyFill="1" applyBorder="1" applyAlignment="1" applyProtection="1">
      <alignment horizontal="left" vertical="center" wrapText="1" indent="1"/>
    </xf>
    <xf numFmtId="0" fontId="4" fillId="6" borderId="4" xfId="0" applyNumberFormat="1" applyFont="1" applyFill="1" applyBorder="1" applyAlignment="1" applyProtection="1">
      <alignment horizontal="left" vertical="center" wrapText="1" inden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G27" sqref="G27"/>
    </sheetView>
  </sheetViews>
  <sheetFormatPr defaultRowHeight="15.75" x14ac:dyDescent="0.25"/>
  <cols>
    <col min="1" max="4" width="9.140625" style="135"/>
    <col min="5" max="5" width="25.28515625" style="135" customWidth="1"/>
    <col min="6" max="6" width="21.140625" style="135" customWidth="1"/>
    <col min="7" max="7" width="18.85546875" style="135" customWidth="1"/>
    <col min="8" max="8" width="19.42578125" style="135" customWidth="1"/>
    <col min="9" max="9" width="11.42578125" style="135" customWidth="1"/>
    <col min="10" max="10" width="11.28515625" style="135" customWidth="1"/>
  </cols>
  <sheetData>
    <row r="1" spans="1:10" x14ac:dyDescent="0.25">
      <c r="A1" s="135" t="s">
        <v>171</v>
      </c>
    </row>
    <row r="2" spans="1:10" x14ac:dyDescent="0.25">
      <c r="A2" s="225" t="s">
        <v>186</v>
      </c>
      <c r="B2" s="225"/>
      <c r="C2" s="225"/>
      <c r="D2" s="225"/>
      <c r="E2" s="225"/>
      <c r="F2" s="225"/>
      <c r="G2" s="225"/>
      <c r="H2" s="225"/>
    </row>
    <row r="3" spans="1:10" x14ac:dyDescent="0.25">
      <c r="A3" s="136"/>
      <c r="B3" s="136"/>
      <c r="C3" s="136"/>
      <c r="D3" s="136"/>
      <c r="E3" s="136"/>
      <c r="F3" s="136"/>
      <c r="G3" s="136"/>
      <c r="H3" s="136"/>
    </row>
    <row r="4" spans="1:10" x14ac:dyDescent="0.25">
      <c r="A4" s="225" t="s">
        <v>33</v>
      </c>
      <c r="B4" s="226"/>
      <c r="C4" s="226"/>
      <c r="D4" s="226"/>
      <c r="E4" s="226"/>
      <c r="F4" s="226"/>
      <c r="G4" s="226"/>
      <c r="H4" s="226"/>
    </row>
    <row r="5" spans="1:10" x14ac:dyDescent="0.25">
      <c r="A5" s="137"/>
      <c r="B5" s="138"/>
      <c r="C5" s="138"/>
      <c r="D5" s="138"/>
      <c r="E5" s="139"/>
      <c r="F5" s="140"/>
      <c r="G5" s="140"/>
      <c r="H5" s="140"/>
    </row>
    <row r="6" spans="1:10" ht="47.25" x14ac:dyDescent="0.25">
      <c r="A6" s="236" t="s">
        <v>18</v>
      </c>
      <c r="B6" s="237"/>
      <c r="C6" s="237"/>
      <c r="D6" s="237"/>
      <c r="E6" s="238"/>
      <c r="F6" s="141" t="s">
        <v>188</v>
      </c>
      <c r="G6" s="141" t="s">
        <v>172</v>
      </c>
      <c r="H6" s="141" t="s">
        <v>189</v>
      </c>
      <c r="I6" s="141" t="s">
        <v>173</v>
      </c>
      <c r="J6" s="141" t="s">
        <v>173</v>
      </c>
    </row>
    <row r="7" spans="1:10" x14ac:dyDescent="0.25">
      <c r="A7" s="239">
        <v>1</v>
      </c>
      <c r="B7" s="240"/>
      <c r="C7" s="240"/>
      <c r="D7" s="240"/>
      <c r="E7" s="241"/>
      <c r="F7" s="141">
        <v>2</v>
      </c>
      <c r="G7" s="141">
        <v>3</v>
      </c>
      <c r="H7" s="141">
        <v>4</v>
      </c>
      <c r="I7" s="141" t="s">
        <v>174</v>
      </c>
      <c r="J7" s="141" t="s">
        <v>175</v>
      </c>
    </row>
    <row r="8" spans="1:10" x14ac:dyDescent="0.25">
      <c r="A8" s="242" t="s">
        <v>0</v>
      </c>
      <c r="B8" s="224"/>
      <c r="C8" s="224"/>
      <c r="D8" s="224"/>
      <c r="E8" s="243"/>
      <c r="F8" s="101">
        <f>F9+F10</f>
        <v>622269.12</v>
      </c>
      <c r="G8" s="101">
        <f>G9+G10</f>
        <v>816915.54</v>
      </c>
      <c r="H8" s="101">
        <f>H9+H10</f>
        <v>795827.08</v>
      </c>
      <c r="I8" s="142">
        <f>H8/F8*100</f>
        <v>127.89114137625855</v>
      </c>
      <c r="J8" s="142">
        <f>H8/G8*100</f>
        <v>97.418526277514545</v>
      </c>
    </row>
    <row r="9" spans="1:10" x14ac:dyDescent="0.25">
      <c r="A9" s="227" t="s">
        <v>1</v>
      </c>
      <c r="B9" s="219"/>
      <c r="C9" s="219"/>
      <c r="D9" s="219"/>
      <c r="E9" s="221"/>
      <c r="F9" s="102">
        <v>622269.12</v>
      </c>
      <c r="G9" s="102">
        <v>816915.54</v>
      </c>
      <c r="H9" s="102">
        <v>795827.08</v>
      </c>
      <c r="I9" s="143">
        <f>H9/F9*100</f>
        <v>127.89114137625855</v>
      </c>
      <c r="J9" s="143">
        <f t="shared" ref="J9:J13" si="0">H9/G9*100</f>
        <v>97.418526277514545</v>
      </c>
    </row>
    <row r="10" spans="1:10" x14ac:dyDescent="0.25">
      <c r="A10" s="220" t="s">
        <v>176</v>
      </c>
      <c r="B10" s="221"/>
      <c r="C10" s="221"/>
      <c r="D10" s="221"/>
      <c r="E10" s="221"/>
      <c r="F10" s="102"/>
      <c r="G10" s="102"/>
      <c r="H10" s="102"/>
      <c r="I10" s="143"/>
      <c r="J10" s="143"/>
    </row>
    <row r="11" spans="1:10" x14ac:dyDescent="0.25">
      <c r="A11" s="144" t="s">
        <v>2</v>
      </c>
      <c r="B11" s="145"/>
      <c r="C11" s="145"/>
      <c r="D11" s="145"/>
      <c r="E11" s="145"/>
      <c r="F11" s="101">
        <f>F12+F13</f>
        <v>625771.53</v>
      </c>
      <c r="G11" s="101">
        <f>G12+G13</f>
        <v>816735.03</v>
      </c>
      <c r="H11" s="101">
        <f>H12+H13</f>
        <v>799695.95000000007</v>
      </c>
      <c r="I11" s="142">
        <f t="shared" ref="I11" si="1">H11/F11*100</f>
        <v>127.79359744921601</v>
      </c>
      <c r="J11" s="142">
        <f t="shared" si="0"/>
        <v>97.91375668067036</v>
      </c>
    </row>
    <row r="12" spans="1:10" x14ac:dyDescent="0.25">
      <c r="A12" s="218" t="s">
        <v>177</v>
      </c>
      <c r="B12" s="219"/>
      <c r="C12" s="219"/>
      <c r="D12" s="219"/>
      <c r="E12" s="219"/>
      <c r="F12" s="102">
        <v>614631.30000000005</v>
      </c>
      <c r="G12" s="102">
        <f>779309.85+22700</f>
        <v>802009.85</v>
      </c>
      <c r="H12" s="102">
        <v>784827.16</v>
      </c>
      <c r="I12" s="143">
        <f>H12/F12*100</f>
        <v>127.69072450426783</v>
      </c>
      <c r="J12" s="143">
        <f t="shared" si="0"/>
        <v>97.857546263303391</v>
      </c>
    </row>
    <row r="13" spans="1:10" x14ac:dyDescent="0.25">
      <c r="A13" s="222" t="s">
        <v>178</v>
      </c>
      <c r="B13" s="221"/>
      <c r="C13" s="221"/>
      <c r="D13" s="221"/>
      <c r="E13" s="221"/>
      <c r="F13" s="103">
        <v>11140.23</v>
      </c>
      <c r="G13" s="103">
        <f>37425.18-22700</f>
        <v>14725.18</v>
      </c>
      <c r="H13" s="102">
        <v>14868.79</v>
      </c>
      <c r="I13" s="142">
        <f>H13/F13*100</f>
        <v>133.46932693490172</v>
      </c>
      <c r="J13" s="142">
        <f t="shared" si="0"/>
        <v>100.97526821403882</v>
      </c>
    </row>
    <row r="14" spans="1:10" x14ac:dyDescent="0.25">
      <c r="A14" s="223" t="s">
        <v>3</v>
      </c>
      <c r="B14" s="224"/>
      <c r="C14" s="224"/>
      <c r="D14" s="224"/>
      <c r="E14" s="224"/>
      <c r="F14" s="101">
        <f>F8-F11</f>
        <v>-3502.4100000000326</v>
      </c>
      <c r="G14" s="101">
        <f>G8-G11</f>
        <v>180.51000000000931</v>
      </c>
      <c r="H14" s="101">
        <f>H8-H11</f>
        <v>-3868.8700000001118</v>
      </c>
      <c r="I14" s="143"/>
      <c r="J14" s="143"/>
    </row>
    <row r="15" spans="1:10" x14ac:dyDescent="0.25">
      <c r="A15" s="136"/>
      <c r="B15" s="146"/>
      <c r="C15" s="146"/>
      <c r="D15" s="146"/>
      <c r="E15" s="146"/>
      <c r="F15" s="146"/>
      <c r="G15" s="146"/>
      <c r="H15" s="147"/>
    </row>
    <row r="16" spans="1:10" x14ac:dyDescent="0.25">
      <c r="A16" s="225" t="s">
        <v>34</v>
      </c>
      <c r="B16" s="226"/>
      <c r="C16" s="226"/>
      <c r="D16" s="226"/>
      <c r="E16" s="226"/>
      <c r="F16" s="226"/>
      <c r="G16" s="226"/>
      <c r="H16" s="226"/>
    </row>
    <row r="17" spans="1:10" x14ac:dyDescent="0.25">
      <c r="A17" s="136"/>
      <c r="B17" s="146"/>
      <c r="C17" s="146"/>
      <c r="D17" s="146"/>
      <c r="E17" s="146"/>
      <c r="F17" s="146"/>
      <c r="G17" s="146"/>
      <c r="H17" s="147"/>
    </row>
    <row r="18" spans="1:10" ht="31.5" x14ac:dyDescent="0.25">
      <c r="A18" s="148"/>
      <c r="B18" s="149"/>
      <c r="C18" s="149"/>
      <c r="D18" s="150"/>
      <c r="E18" s="151"/>
      <c r="F18" s="141" t="s">
        <v>179</v>
      </c>
      <c r="G18" s="141" t="s">
        <v>172</v>
      </c>
      <c r="H18" s="141" t="s">
        <v>180</v>
      </c>
      <c r="I18" s="141" t="s">
        <v>173</v>
      </c>
      <c r="J18" s="141" t="s">
        <v>173</v>
      </c>
    </row>
    <row r="19" spans="1:10" x14ac:dyDescent="0.25">
      <c r="A19" s="227" t="s">
        <v>181</v>
      </c>
      <c r="B19" s="228"/>
      <c r="C19" s="228"/>
      <c r="D19" s="228"/>
      <c r="E19" s="229"/>
      <c r="F19" s="152"/>
      <c r="G19" s="152"/>
      <c r="H19" s="152"/>
      <c r="I19" s="153"/>
      <c r="J19" s="153"/>
    </row>
    <row r="20" spans="1:10" x14ac:dyDescent="0.25">
      <c r="A20" s="227" t="s">
        <v>182</v>
      </c>
      <c r="B20" s="219"/>
      <c r="C20" s="219"/>
      <c r="D20" s="219"/>
      <c r="E20" s="219"/>
      <c r="F20" s="152"/>
      <c r="G20" s="152"/>
      <c r="H20" s="152"/>
      <c r="I20" s="153"/>
      <c r="J20" s="153"/>
    </row>
    <row r="21" spans="1:10" x14ac:dyDescent="0.25">
      <c r="A21" s="223" t="s">
        <v>4</v>
      </c>
      <c r="B21" s="224"/>
      <c r="C21" s="224"/>
      <c r="D21" s="224"/>
      <c r="E21" s="224"/>
      <c r="F21" s="154">
        <v>0</v>
      </c>
      <c r="G21" s="154">
        <v>0</v>
      </c>
      <c r="H21" s="154">
        <v>0</v>
      </c>
      <c r="I21" s="154">
        <v>0</v>
      </c>
      <c r="J21" s="154">
        <v>0</v>
      </c>
    </row>
    <row r="22" spans="1:10" x14ac:dyDescent="0.25">
      <c r="A22" s="155"/>
      <c r="B22" s="146"/>
      <c r="C22" s="146"/>
      <c r="D22" s="146"/>
      <c r="E22" s="146"/>
      <c r="F22" s="146"/>
      <c r="G22" s="146"/>
      <c r="H22" s="147"/>
    </row>
    <row r="23" spans="1:10" x14ac:dyDescent="0.25">
      <c r="A23" s="225" t="s">
        <v>183</v>
      </c>
      <c r="B23" s="226"/>
      <c r="C23" s="226"/>
      <c r="D23" s="226"/>
      <c r="E23" s="226"/>
      <c r="F23" s="226"/>
      <c r="G23" s="226"/>
      <c r="H23" s="226"/>
    </row>
    <row r="24" spans="1:10" x14ac:dyDescent="0.25">
      <c r="A24" s="155"/>
      <c r="B24" s="146"/>
      <c r="C24" s="146"/>
      <c r="D24" s="146"/>
      <c r="E24" s="146"/>
      <c r="F24" s="146"/>
      <c r="G24" s="146"/>
      <c r="H24" s="147"/>
    </row>
    <row r="25" spans="1:10" ht="31.5" x14ac:dyDescent="0.25">
      <c r="A25" s="148"/>
      <c r="B25" s="149"/>
      <c r="C25" s="149"/>
      <c r="D25" s="150"/>
      <c r="E25" s="151"/>
      <c r="F25" s="141" t="s">
        <v>179</v>
      </c>
      <c r="G25" s="141" t="s">
        <v>172</v>
      </c>
      <c r="H25" s="141" t="s">
        <v>180</v>
      </c>
      <c r="I25" s="141" t="s">
        <v>173</v>
      </c>
      <c r="J25" s="141" t="s">
        <v>173</v>
      </c>
    </row>
    <row r="26" spans="1:10" x14ac:dyDescent="0.25">
      <c r="A26" s="230" t="s">
        <v>184</v>
      </c>
      <c r="B26" s="231"/>
      <c r="C26" s="231"/>
      <c r="D26" s="231"/>
      <c r="E26" s="232"/>
      <c r="F26" s="156">
        <v>0</v>
      </c>
      <c r="G26" s="156">
        <v>0</v>
      </c>
      <c r="H26" s="156">
        <v>0</v>
      </c>
      <c r="I26" s="156">
        <v>0</v>
      </c>
      <c r="J26" s="156">
        <v>0</v>
      </c>
    </row>
    <row r="27" spans="1:10" x14ac:dyDescent="0.25">
      <c r="A27" s="233" t="s">
        <v>185</v>
      </c>
      <c r="B27" s="234"/>
      <c r="C27" s="234"/>
      <c r="D27" s="234"/>
      <c r="E27" s="235"/>
      <c r="F27" s="157">
        <v>3502.41</v>
      </c>
      <c r="G27" s="157"/>
      <c r="H27" s="157">
        <v>3868.41</v>
      </c>
      <c r="I27" s="143">
        <f>H27/F27*100</f>
        <v>110.44994732198685</v>
      </c>
      <c r="J27" s="143" t="e">
        <f t="shared" ref="J27" si="2">H27/G27*100</f>
        <v>#DIV/0!</v>
      </c>
    </row>
    <row r="30" spans="1:10" x14ac:dyDescent="0.25">
      <c r="A30" s="218" t="s">
        <v>5</v>
      </c>
      <c r="B30" s="219"/>
      <c r="C30" s="219"/>
      <c r="D30" s="219"/>
      <c r="E30" s="219"/>
      <c r="F30" s="152">
        <v>0</v>
      </c>
      <c r="G30" s="152">
        <v>0</v>
      </c>
      <c r="H30" s="152">
        <v>0</v>
      </c>
    </row>
    <row r="31" spans="1:10" x14ac:dyDescent="0.25">
      <c r="A31" s="158"/>
      <c r="B31" s="159"/>
      <c r="C31" s="159"/>
      <c r="D31" s="159"/>
      <c r="E31" s="159"/>
      <c r="F31" s="160"/>
      <c r="G31" s="160"/>
      <c r="H31" s="160"/>
    </row>
  </sheetData>
  <mergeCells count="18">
    <mergeCell ref="A9:E9"/>
    <mergeCell ref="A2:H2"/>
    <mergeCell ref="A4:H4"/>
    <mergeCell ref="A6:E6"/>
    <mergeCell ref="A7:E7"/>
    <mergeCell ref="A8:E8"/>
    <mergeCell ref="A30:E30"/>
    <mergeCell ref="A10:E10"/>
    <mergeCell ref="A12:E12"/>
    <mergeCell ref="A13:E13"/>
    <mergeCell ref="A14:E14"/>
    <mergeCell ref="A16:H16"/>
    <mergeCell ref="A19:E19"/>
    <mergeCell ref="A20:E20"/>
    <mergeCell ref="A21:E21"/>
    <mergeCell ref="A23:H23"/>
    <mergeCell ref="A26:E26"/>
    <mergeCell ref="A27:E27"/>
  </mergeCells>
  <pageMargins left="0.7" right="0.7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6"/>
  <sheetViews>
    <sheetView topLeftCell="A10" workbookViewId="0">
      <selection activeCell="H22" sqref="H22:I23"/>
    </sheetView>
  </sheetViews>
  <sheetFormatPr defaultRowHeight="15" x14ac:dyDescent="0.25"/>
  <cols>
    <col min="1" max="1" width="7.42578125" bestFit="1" customWidth="1"/>
    <col min="2" max="2" width="13.28515625" customWidth="1"/>
    <col min="3" max="3" width="5.42578125" bestFit="1" customWidth="1"/>
    <col min="4" max="4" width="29.42578125" customWidth="1"/>
    <col min="5" max="7" width="18.7109375" customWidth="1"/>
    <col min="8" max="9" width="13.140625" style="176" bestFit="1" customWidth="1"/>
  </cols>
  <sheetData>
    <row r="1" spans="1:14" ht="47.25" customHeight="1" x14ac:dyDescent="0.25">
      <c r="A1" s="225" t="s">
        <v>186</v>
      </c>
      <c r="B1" s="225"/>
      <c r="C1" s="225"/>
      <c r="D1" s="225"/>
      <c r="E1" s="225"/>
      <c r="F1" s="225"/>
      <c r="G1" s="225"/>
      <c r="H1" s="225"/>
    </row>
    <row r="2" spans="1:14" ht="18" customHeight="1" x14ac:dyDescent="0.25">
      <c r="A2" s="1"/>
      <c r="B2" s="1"/>
      <c r="C2" s="1"/>
      <c r="D2" s="1"/>
      <c r="E2" s="122"/>
      <c r="F2" s="122"/>
      <c r="G2" s="1"/>
    </row>
    <row r="3" spans="1:14" ht="15.75" x14ac:dyDescent="0.25">
      <c r="A3" s="251" t="s">
        <v>24</v>
      </c>
      <c r="B3" s="251"/>
      <c r="C3" s="251"/>
      <c r="D3" s="251"/>
      <c r="E3" s="251"/>
      <c r="F3" s="251"/>
      <c r="G3" s="251"/>
    </row>
    <row r="4" spans="1:14" ht="18" x14ac:dyDescent="0.25">
      <c r="A4" s="1"/>
      <c r="B4" s="1"/>
      <c r="C4" s="1"/>
      <c r="D4" s="1"/>
      <c r="E4" s="2"/>
      <c r="F4" s="2"/>
      <c r="G4" s="1"/>
    </row>
    <row r="5" spans="1:14" ht="18" customHeight="1" x14ac:dyDescent="0.25">
      <c r="A5" s="251" t="s">
        <v>7</v>
      </c>
      <c r="B5" s="226"/>
      <c r="C5" s="226"/>
      <c r="D5" s="226"/>
      <c r="E5" s="226"/>
      <c r="F5" s="226"/>
      <c r="G5" s="226"/>
    </row>
    <row r="6" spans="1:14" ht="18" x14ac:dyDescent="0.25">
      <c r="A6" s="1"/>
      <c r="B6" s="1"/>
      <c r="C6" s="1"/>
      <c r="D6" s="1"/>
      <c r="E6" s="2"/>
      <c r="F6" s="2"/>
      <c r="G6" s="1"/>
    </row>
    <row r="7" spans="1:14" ht="15.75" x14ac:dyDescent="0.25">
      <c r="A7" s="251" t="s">
        <v>1</v>
      </c>
      <c r="B7" s="252"/>
      <c r="C7" s="252"/>
      <c r="D7" s="252"/>
      <c r="E7" s="252"/>
      <c r="F7" s="252"/>
      <c r="G7" s="252"/>
    </row>
    <row r="8" spans="1:14" ht="18" x14ac:dyDescent="0.25">
      <c r="A8" s="1"/>
      <c r="B8" s="1"/>
      <c r="C8" s="1"/>
      <c r="D8" s="1"/>
      <c r="E8" s="2"/>
      <c r="F8" s="2"/>
      <c r="G8" s="1"/>
    </row>
    <row r="9" spans="1:14" ht="38.25" x14ac:dyDescent="0.25">
      <c r="A9" s="14" t="s">
        <v>8</v>
      </c>
      <c r="B9" s="13" t="s">
        <v>9</v>
      </c>
      <c r="C9" s="13" t="s">
        <v>10</v>
      </c>
      <c r="D9" s="13" t="s">
        <v>6</v>
      </c>
      <c r="E9" s="14" t="s">
        <v>188</v>
      </c>
      <c r="F9" s="14" t="s">
        <v>172</v>
      </c>
      <c r="G9" s="14" t="s">
        <v>189</v>
      </c>
      <c r="H9" s="14" t="s">
        <v>173</v>
      </c>
      <c r="I9" s="14" t="s">
        <v>173</v>
      </c>
    </row>
    <row r="10" spans="1:14" s="164" customFormat="1" x14ac:dyDescent="0.25">
      <c r="A10" s="244">
        <v>1</v>
      </c>
      <c r="B10" s="244"/>
      <c r="C10" s="244"/>
      <c r="D10" s="244"/>
      <c r="E10" s="165">
        <v>2</v>
      </c>
      <c r="F10" s="166">
        <v>3</v>
      </c>
      <c r="G10" s="166">
        <v>4</v>
      </c>
      <c r="H10" s="177" t="s">
        <v>174</v>
      </c>
      <c r="I10" s="178" t="s">
        <v>175</v>
      </c>
      <c r="J10" s="163"/>
      <c r="K10" s="163"/>
      <c r="L10" s="163"/>
      <c r="M10" s="163"/>
      <c r="N10" s="163"/>
    </row>
    <row r="11" spans="1:14" ht="15.75" customHeight="1" x14ac:dyDescent="0.25">
      <c r="A11" s="186">
        <v>6</v>
      </c>
      <c r="B11" s="186"/>
      <c r="C11" s="186"/>
      <c r="D11" s="187" t="s">
        <v>11</v>
      </c>
      <c r="E11" s="188">
        <f>SUM(E12+E25+E28+E34)</f>
        <v>622269.12</v>
      </c>
      <c r="F11" s="188">
        <f>SUM(F12+F25+F28+F34+F22)</f>
        <v>816915.54000000015</v>
      </c>
      <c r="G11" s="188">
        <f>SUM(G12+G25+G28+G34)</f>
        <v>797340.94000000006</v>
      </c>
      <c r="H11" s="189">
        <f>G11/E11*100</f>
        <v>128.13442196842422</v>
      </c>
      <c r="I11" s="189">
        <f>G11/F11*100</f>
        <v>97.60384041659924</v>
      </c>
    </row>
    <row r="12" spans="1:14" ht="38.25" x14ac:dyDescent="0.25">
      <c r="A12" s="48"/>
      <c r="B12" s="48">
        <v>63</v>
      </c>
      <c r="C12" s="49"/>
      <c r="D12" s="26" t="s">
        <v>35</v>
      </c>
      <c r="E12" s="89">
        <f t="shared" ref="E12:F12" si="0">SUM(E16,E19+E13)</f>
        <v>573811.4</v>
      </c>
      <c r="F12" s="89">
        <f t="shared" si="0"/>
        <v>741382.49000000011</v>
      </c>
      <c r="G12" s="89">
        <f t="shared" ref="G12" si="1">SUM(G16,G19+G13)</f>
        <v>722360.78</v>
      </c>
      <c r="H12" s="197">
        <f>G12/E12*100</f>
        <v>125.88818904608728</v>
      </c>
      <c r="I12" s="197">
        <f>G12/F12*100</f>
        <v>97.434291980648197</v>
      </c>
    </row>
    <row r="13" spans="1:14" ht="25.5" x14ac:dyDescent="0.25">
      <c r="A13" s="44"/>
      <c r="B13" s="45">
        <v>633</v>
      </c>
      <c r="C13" s="45"/>
      <c r="D13" s="25" t="s">
        <v>133</v>
      </c>
      <c r="E13" s="90">
        <f t="shared" ref="E13:F13" si="2">SUM(E14:E15)</f>
        <v>2330.87</v>
      </c>
      <c r="F13" s="90">
        <f t="shared" si="2"/>
        <v>3100</v>
      </c>
      <c r="G13" s="90">
        <f t="shared" ref="G13" si="3">SUM(G14:G15)</f>
        <v>2247.5700000000002</v>
      </c>
      <c r="H13" s="198">
        <f t="shared" ref="H13:H36" si="4">G13/E13*100</f>
        <v>96.426227116913438</v>
      </c>
      <c r="I13" s="198">
        <f t="shared" ref="I13:I37" si="5">G13/F13*100</f>
        <v>72.502258064516127</v>
      </c>
    </row>
    <row r="14" spans="1:14" ht="25.5" x14ac:dyDescent="0.25">
      <c r="A14" s="6"/>
      <c r="B14" s="6">
        <v>6331</v>
      </c>
      <c r="C14" s="7"/>
      <c r="D14" s="64" t="s">
        <v>134</v>
      </c>
      <c r="E14" s="75">
        <v>2330.87</v>
      </c>
      <c r="F14" s="75">
        <v>3100</v>
      </c>
      <c r="G14" s="123">
        <v>2247.5700000000002</v>
      </c>
      <c r="H14" s="179">
        <f t="shared" si="4"/>
        <v>96.426227116913438</v>
      </c>
      <c r="I14" s="179">
        <f t="shared" si="5"/>
        <v>72.502258064516127</v>
      </c>
    </row>
    <row r="15" spans="1:14" ht="25.5" x14ac:dyDescent="0.25">
      <c r="A15" s="6"/>
      <c r="B15" s="6">
        <v>6332</v>
      </c>
      <c r="C15" s="7"/>
      <c r="D15" s="64" t="s">
        <v>135</v>
      </c>
      <c r="E15" s="75"/>
      <c r="F15" s="75"/>
      <c r="G15" s="75"/>
      <c r="H15" s="179">
        <v>0</v>
      </c>
      <c r="I15" s="179">
        <v>0</v>
      </c>
    </row>
    <row r="16" spans="1:14" ht="25.5" x14ac:dyDescent="0.25">
      <c r="A16" s="44"/>
      <c r="B16" s="45">
        <v>636</v>
      </c>
      <c r="C16" s="45"/>
      <c r="D16" s="25" t="s">
        <v>107</v>
      </c>
      <c r="E16" s="90">
        <f t="shared" ref="E16:F16" si="6">SUM(E17:E18)</f>
        <v>571237.32000000007</v>
      </c>
      <c r="F16" s="90">
        <f t="shared" si="6"/>
        <v>733525.18</v>
      </c>
      <c r="G16" s="90">
        <f t="shared" ref="G16" si="7">SUM(G17:G18)</f>
        <v>716447.76</v>
      </c>
      <c r="H16" s="198">
        <f t="shared" si="4"/>
        <v>125.42033493189835</v>
      </c>
      <c r="I16" s="198">
        <f t="shared" si="5"/>
        <v>97.671869969071807</v>
      </c>
    </row>
    <row r="17" spans="1:9" ht="38.25" x14ac:dyDescent="0.25">
      <c r="A17" s="6"/>
      <c r="B17" s="6">
        <v>6361</v>
      </c>
      <c r="C17" s="7"/>
      <c r="D17" s="53" t="s">
        <v>108</v>
      </c>
      <c r="E17" s="75">
        <v>567184.26</v>
      </c>
      <c r="F17" s="75">
        <v>730500</v>
      </c>
      <c r="G17" s="123">
        <v>713422.58</v>
      </c>
      <c r="H17" s="179">
        <f t="shared" si="4"/>
        <v>125.78321196713038</v>
      </c>
      <c r="I17" s="179">
        <f t="shared" si="5"/>
        <v>97.662228610540723</v>
      </c>
    </row>
    <row r="18" spans="1:9" ht="38.25" x14ac:dyDescent="0.25">
      <c r="A18" s="6"/>
      <c r="B18" s="6">
        <v>6362</v>
      </c>
      <c r="C18" s="7"/>
      <c r="D18" s="53" t="s">
        <v>109</v>
      </c>
      <c r="E18" s="75">
        <v>4053.06</v>
      </c>
      <c r="F18" s="75">
        <v>3025.18</v>
      </c>
      <c r="G18" s="123">
        <v>3025.18</v>
      </c>
      <c r="H18" s="179">
        <f t="shared" si="4"/>
        <v>74.639408249569456</v>
      </c>
      <c r="I18" s="179">
        <f t="shared" si="5"/>
        <v>100</v>
      </c>
    </row>
    <row r="19" spans="1:9" ht="25.5" x14ac:dyDescent="0.25">
      <c r="A19" s="46"/>
      <c r="B19" s="46">
        <v>638</v>
      </c>
      <c r="C19" s="47"/>
      <c r="D19" s="25" t="s">
        <v>110</v>
      </c>
      <c r="E19" s="91">
        <f t="shared" ref="E19:F19" si="8">SUM(E20:E21)</f>
        <v>243.21</v>
      </c>
      <c r="F19" s="91">
        <f t="shared" si="8"/>
        <v>4757.3100000000004</v>
      </c>
      <c r="G19" s="91">
        <f t="shared" ref="G19" si="9">SUM(G20:G21)</f>
        <v>3665.45</v>
      </c>
      <c r="H19" s="198">
        <f t="shared" si="4"/>
        <v>1507.1131943587845</v>
      </c>
      <c r="I19" s="198">
        <f t="shared" si="5"/>
        <v>77.048794381698897</v>
      </c>
    </row>
    <row r="20" spans="1:9" ht="25.5" x14ac:dyDescent="0.25">
      <c r="A20" s="6"/>
      <c r="B20" s="6">
        <v>6381</v>
      </c>
      <c r="C20" s="7"/>
      <c r="D20" s="53" t="s">
        <v>111</v>
      </c>
      <c r="E20" s="75">
        <v>243.21</v>
      </c>
      <c r="F20" s="75">
        <v>4757.3100000000004</v>
      </c>
      <c r="G20" s="123">
        <v>3665.45</v>
      </c>
      <c r="H20" s="179">
        <f t="shared" si="4"/>
        <v>1507.1131943587845</v>
      </c>
      <c r="I20" s="179">
        <f t="shared" si="5"/>
        <v>77.048794381698897</v>
      </c>
    </row>
    <row r="21" spans="1:9" ht="25.5" x14ac:dyDescent="0.25">
      <c r="A21" s="6"/>
      <c r="B21" s="6">
        <v>6382</v>
      </c>
      <c r="C21" s="7"/>
      <c r="D21" s="53" t="s">
        <v>112</v>
      </c>
      <c r="E21" s="75"/>
      <c r="F21" s="75"/>
      <c r="G21" s="75"/>
      <c r="H21" s="179">
        <v>0</v>
      </c>
      <c r="I21" s="179">
        <v>0</v>
      </c>
    </row>
    <row r="22" spans="1:9" x14ac:dyDescent="0.25">
      <c r="A22" s="48"/>
      <c r="B22" s="48">
        <v>64</v>
      </c>
      <c r="C22" s="49"/>
      <c r="D22" s="26" t="s">
        <v>162</v>
      </c>
      <c r="E22" s="89">
        <f t="shared" ref="E22:G23" si="10">E23</f>
        <v>11.62</v>
      </c>
      <c r="F22" s="89">
        <f t="shared" si="10"/>
        <v>20</v>
      </c>
      <c r="G22" s="89">
        <f t="shared" si="10"/>
        <v>18.559999999999999</v>
      </c>
      <c r="H22" s="197">
        <f>G22/E22*100</f>
        <v>159.72461273666093</v>
      </c>
      <c r="I22" s="197">
        <f>G22/F22*100</f>
        <v>92.8</v>
      </c>
    </row>
    <row r="23" spans="1:9" x14ac:dyDescent="0.25">
      <c r="A23" s="44"/>
      <c r="B23" s="45">
        <v>641</v>
      </c>
      <c r="C23" s="45"/>
      <c r="D23" s="25" t="s">
        <v>163</v>
      </c>
      <c r="E23" s="90">
        <f t="shared" si="10"/>
        <v>11.62</v>
      </c>
      <c r="F23" s="90">
        <f t="shared" si="10"/>
        <v>20</v>
      </c>
      <c r="G23" s="90">
        <f t="shared" si="10"/>
        <v>18.559999999999999</v>
      </c>
      <c r="H23" s="198">
        <f t="shared" ref="H23" si="11">G23/E23*100</f>
        <v>159.72461273666093</v>
      </c>
      <c r="I23" s="198">
        <f t="shared" ref="I23" si="12">G23/F23*100</f>
        <v>92.8</v>
      </c>
    </row>
    <row r="24" spans="1:9" ht="25.5" x14ac:dyDescent="0.25">
      <c r="A24" s="6"/>
      <c r="B24" s="6">
        <v>6413</v>
      </c>
      <c r="C24" s="7"/>
      <c r="D24" s="64" t="s">
        <v>164</v>
      </c>
      <c r="E24" s="75">
        <v>11.62</v>
      </c>
      <c r="F24" s="75">
        <v>20</v>
      </c>
      <c r="G24" s="123">
        <v>18.559999999999999</v>
      </c>
      <c r="H24" s="179">
        <f t="shared" si="4"/>
        <v>159.72461273666093</v>
      </c>
      <c r="I24" s="179">
        <f t="shared" si="5"/>
        <v>92.8</v>
      </c>
    </row>
    <row r="25" spans="1:9" ht="53.25" customHeight="1" x14ac:dyDescent="0.25">
      <c r="A25" s="54"/>
      <c r="B25" s="55">
        <v>65</v>
      </c>
      <c r="C25" s="56"/>
      <c r="D25" s="57" t="s">
        <v>114</v>
      </c>
      <c r="E25" s="92">
        <f t="shared" ref="E25:G25" si="13">SUM(E26)</f>
        <v>12027.97</v>
      </c>
      <c r="F25" s="92">
        <f t="shared" si="13"/>
        <v>5600</v>
      </c>
      <c r="G25" s="92">
        <f t="shared" si="13"/>
        <v>5757.66</v>
      </c>
      <c r="H25" s="197">
        <f t="shared" si="4"/>
        <v>47.868925512783953</v>
      </c>
      <c r="I25" s="197">
        <f t="shared" si="5"/>
        <v>102.81535714285714</v>
      </c>
    </row>
    <row r="26" spans="1:9" x14ac:dyDescent="0.25">
      <c r="A26" s="46"/>
      <c r="B26" s="46">
        <v>652</v>
      </c>
      <c r="C26" s="47"/>
      <c r="D26" s="25" t="s">
        <v>113</v>
      </c>
      <c r="E26" s="90">
        <f t="shared" ref="E26:G26" si="14">SUM(E27:E27)</f>
        <v>12027.97</v>
      </c>
      <c r="F26" s="90">
        <f t="shared" si="14"/>
        <v>5600</v>
      </c>
      <c r="G26" s="90">
        <f t="shared" si="14"/>
        <v>5757.66</v>
      </c>
      <c r="H26" s="198">
        <f t="shared" si="4"/>
        <v>47.868925512783953</v>
      </c>
      <c r="I26" s="198">
        <f t="shared" si="5"/>
        <v>102.81535714285714</v>
      </c>
    </row>
    <row r="27" spans="1:9" x14ac:dyDescent="0.25">
      <c r="A27" s="6"/>
      <c r="B27" s="6">
        <v>6526</v>
      </c>
      <c r="C27" s="7"/>
      <c r="D27" s="53" t="s">
        <v>136</v>
      </c>
      <c r="E27" s="75">
        <v>12027.97</v>
      </c>
      <c r="F27" s="75">
        <v>5600</v>
      </c>
      <c r="G27" s="123">
        <v>5757.66</v>
      </c>
      <c r="H27" s="179">
        <f t="shared" si="4"/>
        <v>47.868925512783953</v>
      </c>
      <c r="I27" s="179">
        <f t="shared" si="5"/>
        <v>102.81535714285714</v>
      </c>
    </row>
    <row r="28" spans="1:9" ht="44.25" customHeight="1" x14ac:dyDescent="0.25">
      <c r="A28" s="48"/>
      <c r="B28" s="48">
        <v>66</v>
      </c>
      <c r="C28" s="49"/>
      <c r="D28" s="26" t="s">
        <v>115</v>
      </c>
      <c r="E28" s="89">
        <f>SUM(E29,E31)</f>
        <v>3043.8</v>
      </c>
      <c r="F28" s="89">
        <f>SUM(F29,F31)</f>
        <v>1980</v>
      </c>
      <c r="G28" s="89">
        <f>SUM(G29,G31)</f>
        <v>2417</v>
      </c>
      <c r="H28" s="197">
        <f t="shared" si="4"/>
        <v>79.407319797621383</v>
      </c>
      <c r="I28" s="197">
        <f t="shared" si="5"/>
        <v>122.07070707070706</v>
      </c>
    </row>
    <row r="29" spans="1:9" ht="38.25" customHeight="1" x14ac:dyDescent="0.25">
      <c r="A29" s="44"/>
      <c r="B29" s="45">
        <v>661</v>
      </c>
      <c r="C29" s="45"/>
      <c r="D29" s="25" t="s">
        <v>116</v>
      </c>
      <c r="E29" s="90">
        <f>SUM(E30:E30)</f>
        <v>3043.8</v>
      </c>
      <c r="F29" s="90">
        <f>SUM(F30:F30)</f>
        <v>1980</v>
      </c>
      <c r="G29" s="90">
        <f>SUM(G30:G30)</f>
        <v>2417</v>
      </c>
      <c r="H29" s="198">
        <f t="shared" si="4"/>
        <v>79.407319797621383</v>
      </c>
      <c r="I29" s="198">
        <f t="shared" si="5"/>
        <v>122.07070707070706</v>
      </c>
    </row>
    <row r="30" spans="1:9" x14ac:dyDescent="0.25">
      <c r="A30" s="6"/>
      <c r="B30" s="6">
        <v>6615</v>
      </c>
      <c r="C30" s="7"/>
      <c r="D30" s="53" t="s">
        <v>117</v>
      </c>
      <c r="E30" s="75">
        <v>3043.8</v>
      </c>
      <c r="F30" s="75">
        <v>1980</v>
      </c>
      <c r="G30" s="123">
        <v>2417</v>
      </c>
      <c r="H30" s="179">
        <f t="shared" si="4"/>
        <v>79.407319797621383</v>
      </c>
      <c r="I30" s="179">
        <f t="shared" si="5"/>
        <v>122.07070707070706</v>
      </c>
    </row>
    <row r="31" spans="1:9" ht="25.5" x14ac:dyDescent="0.25">
      <c r="A31" s="46"/>
      <c r="B31" s="46">
        <v>663</v>
      </c>
      <c r="C31" s="47"/>
      <c r="D31" s="25" t="s">
        <v>118</v>
      </c>
      <c r="E31" s="91">
        <f t="shared" ref="E31:F31" si="15">SUM(E32:E33)</f>
        <v>0</v>
      </c>
      <c r="F31" s="91">
        <f t="shared" si="15"/>
        <v>0</v>
      </c>
      <c r="G31" s="91">
        <f t="shared" ref="G31" si="16">SUM(G32:G33)</f>
        <v>0</v>
      </c>
      <c r="H31" s="198"/>
      <c r="I31" s="198"/>
    </row>
    <row r="32" spans="1:9" x14ac:dyDescent="0.25">
      <c r="A32" s="6"/>
      <c r="B32" s="6">
        <v>6631</v>
      </c>
      <c r="C32" s="7"/>
      <c r="D32" s="53" t="s">
        <v>119</v>
      </c>
      <c r="E32" s="75"/>
      <c r="F32" s="75"/>
      <c r="G32" s="75"/>
      <c r="H32" s="179"/>
      <c r="I32" s="179"/>
    </row>
    <row r="33" spans="1:9" x14ac:dyDescent="0.25">
      <c r="A33" s="6"/>
      <c r="B33" s="6">
        <v>6632</v>
      </c>
      <c r="C33" s="7"/>
      <c r="D33" s="53" t="s">
        <v>120</v>
      </c>
      <c r="E33" s="75"/>
      <c r="F33" s="75"/>
      <c r="G33" s="75"/>
      <c r="H33" s="179"/>
      <c r="I33" s="179"/>
    </row>
    <row r="34" spans="1:9" ht="24.75" customHeight="1" x14ac:dyDescent="0.25">
      <c r="A34" s="58"/>
      <c r="B34" s="55">
        <v>67</v>
      </c>
      <c r="C34" s="56"/>
      <c r="D34" s="59" t="s">
        <v>121</v>
      </c>
      <c r="E34" s="73">
        <f t="shared" ref="E34:G34" si="17">SUM(E35)</f>
        <v>33385.949999999997</v>
      </c>
      <c r="F34" s="73">
        <f t="shared" si="17"/>
        <v>67933.05</v>
      </c>
      <c r="G34" s="73">
        <f t="shared" si="17"/>
        <v>66805.5</v>
      </c>
      <c r="H34" s="197">
        <f t="shared" si="4"/>
        <v>200.10064113796372</v>
      </c>
      <c r="I34" s="197">
        <f t="shared" si="5"/>
        <v>98.34020406856456</v>
      </c>
    </row>
    <row r="35" spans="1:9" ht="38.25" x14ac:dyDescent="0.25">
      <c r="A35" s="46"/>
      <c r="B35" s="46">
        <v>671</v>
      </c>
      <c r="C35" s="47"/>
      <c r="D35" s="25" t="s">
        <v>122</v>
      </c>
      <c r="E35" s="90">
        <f t="shared" ref="E35:F35" si="18">SUM(E36:E37)</f>
        <v>33385.949999999997</v>
      </c>
      <c r="F35" s="90">
        <f t="shared" si="18"/>
        <v>67933.05</v>
      </c>
      <c r="G35" s="90">
        <f t="shared" ref="G35" si="19">SUM(G36:G37)</f>
        <v>66805.5</v>
      </c>
      <c r="H35" s="198">
        <f t="shared" si="4"/>
        <v>200.10064113796372</v>
      </c>
      <c r="I35" s="198">
        <f t="shared" si="5"/>
        <v>98.34020406856456</v>
      </c>
    </row>
    <row r="36" spans="1:9" ht="38.25" x14ac:dyDescent="0.25">
      <c r="A36" s="6"/>
      <c r="B36" s="6">
        <v>6711</v>
      </c>
      <c r="C36" s="7"/>
      <c r="D36" s="53" t="s">
        <v>123</v>
      </c>
      <c r="E36" s="75">
        <v>33385.949999999997</v>
      </c>
      <c r="F36" s="75">
        <v>56733.05</v>
      </c>
      <c r="G36" s="123">
        <v>55654.25</v>
      </c>
      <c r="H36" s="179">
        <f t="shared" si="4"/>
        <v>166.69961465826196</v>
      </c>
      <c r="I36" s="179">
        <f t="shared" si="5"/>
        <v>98.098462888915719</v>
      </c>
    </row>
    <row r="37" spans="1:9" ht="38.25" x14ac:dyDescent="0.25">
      <c r="A37" s="6"/>
      <c r="B37" s="6">
        <v>6712</v>
      </c>
      <c r="C37" s="7"/>
      <c r="D37" s="53" t="s">
        <v>124</v>
      </c>
      <c r="E37" s="75"/>
      <c r="F37" s="75">
        <v>11200</v>
      </c>
      <c r="G37" s="123">
        <v>11151.25</v>
      </c>
      <c r="H37" s="179">
        <v>0</v>
      </c>
      <c r="I37" s="179">
        <f t="shared" si="5"/>
        <v>99.564732142857139</v>
      </c>
    </row>
    <row r="38" spans="1:9" s="60" customFormat="1" x14ac:dyDescent="0.25">
      <c r="A38" s="190"/>
      <c r="B38" s="191" t="s">
        <v>125</v>
      </c>
      <c r="C38" s="192"/>
      <c r="D38" s="192"/>
      <c r="E38" s="193">
        <f>SUM(E12+E25+E28+E34)</f>
        <v>622269.12</v>
      </c>
      <c r="F38" s="193">
        <f>SUM(F12+F25+F28+F34+F22)</f>
        <v>816915.54000000015</v>
      </c>
      <c r="G38" s="193">
        <f>SUM(G12+G25+G28+G34)</f>
        <v>797340.94000000006</v>
      </c>
      <c r="H38" s="189">
        <f t="shared" ref="H38" si="20">G38/E38*100</f>
        <v>128.13442196842422</v>
      </c>
      <c r="I38" s="189">
        <f t="shared" ref="I38" si="21">G38/F38*100</f>
        <v>97.60384041659924</v>
      </c>
    </row>
    <row r="39" spans="1:9" s="60" customFormat="1" x14ac:dyDescent="0.25">
      <c r="A39" s="93"/>
      <c r="B39" s="94"/>
      <c r="C39" s="95"/>
      <c r="D39" s="95"/>
      <c r="E39" s="96"/>
      <c r="F39" s="96"/>
      <c r="G39" s="96"/>
      <c r="H39" s="180"/>
      <c r="I39" s="180"/>
    </row>
    <row r="40" spans="1:9" s="60" customFormat="1" x14ac:dyDescent="0.25">
      <c r="A40" s="93"/>
      <c r="B40" s="94"/>
      <c r="C40" s="95"/>
      <c r="D40" s="95"/>
      <c r="E40" s="96"/>
      <c r="F40" s="96"/>
      <c r="G40" s="96"/>
      <c r="H40" s="180"/>
      <c r="I40" s="180"/>
    </row>
    <row r="41" spans="1:9" s="60" customFormat="1" x14ac:dyDescent="0.25">
      <c r="A41" s="93"/>
      <c r="B41" s="94"/>
      <c r="C41" s="95"/>
      <c r="D41" s="95"/>
      <c r="E41" s="96"/>
      <c r="F41" s="96"/>
      <c r="G41" s="96"/>
      <c r="H41" s="180"/>
      <c r="I41" s="180"/>
    </row>
    <row r="42" spans="1:9" s="60" customFormat="1" x14ac:dyDescent="0.25">
      <c r="A42" s="93"/>
      <c r="B42" s="94"/>
      <c r="C42" s="95"/>
      <c r="D42" s="95"/>
      <c r="E42" s="96"/>
      <c r="F42" s="96"/>
      <c r="G42" s="96"/>
      <c r="H42" s="180"/>
      <c r="I42" s="180"/>
    </row>
    <row r="44" spans="1:9" x14ac:dyDescent="0.25">
      <c r="A44" s="253" t="s">
        <v>13</v>
      </c>
      <c r="B44" s="254"/>
      <c r="C44" s="254"/>
      <c r="D44" s="254"/>
      <c r="E44" s="254"/>
      <c r="F44" s="254"/>
      <c r="G44" s="254"/>
    </row>
    <row r="45" spans="1:9" x14ac:dyDescent="0.25">
      <c r="A45" s="76"/>
      <c r="B45" s="76"/>
      <c r="C45" s="76"/>
      <c r="D45" s="76"/>
      <c r="E45" s="2"/>
      <c r="F45" s="2"/>
      <c r="G45" s="76"/>
    </row>
    <row r="46" spans="1:9" ht="38.25" x14ac:dyDescent="0.25">
      <c r="A46" s="14" t="s">
        <v>8</v>
      </c>
      <c r="B46" s="13" t="s">
        <v>9</v>
      </c>
      <c r="C46" s="13" t="s">
        <v>10</v>
      </c>
      <c r="D46" s="13" t="s">
        <v>14</v>
      </c>
      <c r="E46" s="14" t="s">
        <v>188</v>
      </c>
      <c r="F46" s="14" t="s">
        <v>172</v>
      </c>
      <c r="G46" s="14" t="s">
        <v>189</v>
      </c>
      <c r="H46" s="14" t="s">
        <v>173</v>
      </c>
      <c r="I46" s="14" t="s">
        <v>173</v>
      </c>
    </row>
    <row r="47" spans="1:9" x14ac:dyDescent="0.25">
      <c r="A47" s="245">
        <v>1</v>
      </c>
      <c r="B47" s="246"/>
      <c r="C47" s="246"/>
      <c r="D47" s="247"/>
      <c r="E47" s="168">
        <v>2</v>
      </c>
      <c r="F47" s="169">
        <v>3</v>
      </c>
      <c r="G47" s="169">
        <v>4</v>
      </c>
      <c r="H47" s="170" t="s">
        <v>174</v>
      </c>
      <c r="I47" s="172" t="s">
        <v>175</v>
      </c>
    </row>
    <row r="48" spans="1:9" x14ac:dyDescent="0.25">
      <c r="A48" s="186">
        <v>3</v>
      </c>
      <c r="B48" s="186"/>
      <c r="C48" s="186"/>
      <c r="D48" s="187" t="s">
        <v>15</v>
      </c>
      <c r="E48" s="188">
        <f>SUM(E49+E58+E92+E96)</f>
        <v>614631.30000000005</v>
      </c>
      <c r="F48" s="188">
        <f>SUM(F49+F58+F92+F96)</f>
        <v>802009.85000000009</v>
      </c>
      <c r="G48" s="188">
        <f>SUM(G49+G58+G92+G96)</f>
        <v>784827.16000000015</v>
      </c>
      <c r="H48" s="189">
        <f>G48/E48*100</f>
        <v>127.69072450426786</v>
      </c>
      <c r="I48" s="189">
        <f>G48/F48*100</f>
        <v>97.857546263303391</v>
      </c>
    </row>
    <row r="49" spans="1:9" x14ac:dyDescent="0.25">
      <c r="A49" s="48"/>
      <c r="B49" s="49">
        <v>31</v>
      </c>
      <c r="C49" s="49"/>
      <c r="D49" s="26" t="s">
        <v>16</v>
      </c>
      <c r="E49" s="125">
        <f t="shared" ref="E49:F49" si="22">SUM(E50,E54,E56)</f>
        <v>523397</v>
      </c>
      <c r="F49" s="125">
        <f t="shared" si="22"/>
        <v>691641.29</v>
      </c>
      <c r="G49" s="125">
        <f t="shared" ref="G49" si="23">SUM(G50,G54,G56)</f>
        <v>672210.02</v>
      </c>
      <c r="H49" s="197">
        <f t="shared" ref="H49:H112" si="24">G49/E49*100</f>
        <v>128.43214997411144</v>
      </c>
      <c r="I49" s="197">
        <f t="shared" ref="I49:I112" si="25">G49/F49*100</f>
        <v>97.19055668293025</v>
      </c>
    </row>
    <row r="50" spans="1:9" x14ac:dyDescent="0.25">
      <c r="A50" s="44"/>
      <c r="B50" s="45">
        <v>311</v>
      </c>
      <c r="C50" s="45"/>
      <c r="D50" s="25" t="s">
        <v>40</v>
      </c>
      <c r="E50" s="90">
        <f t="shared" ref="E50:F50" si="26">SUM(E51:E53)</f>
        <v>431950.51</v>
      </c>
      <c r="F50" s="90">
        <f t="shared" si="26"/>
        <v>577905.2300000001</v>
      </c>
      <c r="G50" s="90">
        <f t="shared" ref="G50" si="27">SUM(G51:G53)</f>
        <v>559121.17000000004</v>
      </c>
      <c r="H50" s="198">
        <f t="shared" si="24"/>
        <v>129.44102554711648</v>
      </c>
      <c r="I50" s="198">
        <f t="shared" si="25"/>
        <v>96.749629692743895</v>
      </c>
    </row>
    <row r="51" spans="1:9" x14ac:dyDescent="0.25">
      <c r="A51" s="6"/>
      <c r="B51" s="6">
        <v>3111</v>
      </c>
      <c r="C51" s="7"/>
      <c r="D51" s="64" t="s">
        <v>52</v>
      </c>
      <c r="E51" s="126">
        <v>431950.51</v>
      </c>
      <c r="F51" s="126">
        <f>2568.83+417.6+39.47+3758.4+618520+1100.93-48500</f>
        <v>577905.2300000001</v>
      </c>
      <c r="G51" s="123">
        <v>559121.17000000004</v>
      </c>
      <c r="H51" s="179">
        <f t="shared" si="24"/>
        <v>129.44102554711648</v>
      </c>
      <c r="I51" s="179">
        <f t="shared" si="25"/>
        <v>96.749629692743895</v>
      </c>
    </row>
    <row r="52" spans="1:9" x14ac:dyDescent="0.25">
      <c r="A52" s="6"/>
      <c r="B52" s="6">
        <v>3113</v>
      </c>
      <c r="C52" s="7"/>
      <c r="D52" s="64" t="s">
        <v>53</v>
      </c>
      <c r="E52" s="126"/>
      <c r="F52" s="126"/>
      <c r="G52" s="126"/>
      <c r="H52" s="179"/>
      <c r="I52" s="179"/>
    </row>
    <row r="53" spans="1:9" x14ac:dyDescent="0.25">
      <c r="A53" s="6"/>
      <c r="B53" s="6">
        <v>3114</v>
      </c>
      <c r="C53" s="7"/>
      <c r="D53" s="64" t="s">
        <v>54</v>
      </c>
      <c r="E53" s="126"/>
      <c r="F53" s="126"/>
      <c r="G53" s="126"/>
      <c r="H53" s="179"/>
      <c r="I53" s="179"/>
    </row>
    <row r="54" spans="1:9" x14ac:dyDescent="0.25">
      <c r="A54" s="46"/>
      <c r="B54" s="46">
        <v>312</v>
      </c>
      <c r="C54" s="47"/>
      <c r="D54" s="25" t="s">
        <v>55</v>
      </c>
      <c r="E54" s="91">
        <f t="shared" ref="E54:G54" si="28">E55</f>
        <v>20436.98</v>
      </c>
      <c r="F54" s="91">
        <f t="shared" si="28"/>
        <v>22425</v>
      </c>
      <c r="G54" s="91">
        <f t="shared" si="28"/>
        <v>22145.439999999999</v>
      </c>
      <c r="H54" s="198">
        <f t="shared" si="24"/>
        <v>108.35965000699713</v>
      </c>
      <c r="I54" s="198">
        <f t="shared" si="25"/>
        <v>98.753355629877362</v>
      </c>
    </row>
    <row r="55" spans="1:9" x14ac:dyDescent="0.25">
      <c r="A55" s="6"/>
      <c r="B55" s="6">
        <v>3121</v>
      </c>
      <c r="C55" s="7"/>
      <c r="D55" s="64" t="s">
        <v>56</v>
      </c>
      <c r="E55" s="126">
        <v>20436.98</v>
      </c>
      <c r="F55" s="126">
        <f>210+330+270+21545+70</f>
        <v>22425</v>
      </c>
      <c r="G55" s="123">
        <v>22145.439999999999</v>
      </c>
      <c r="H55" s="179">
        <f t="shared" si="24"/>
        <v>108.35965000699713</v>
      </c>
      <c r="I55" s="179">
        <f t="shared" si="25"/>
        <v>98.753355629877362</v>
      </c>
    </row>
    <row r="56" spans="1:9" x14ac:dyDescent="0.25">
      <c r="A56" s="46"/>
      <c r="B56" s="46">
        <v>313</v>
      </c>
      <c r="C56" s="47"/>
      <c r="D56" s="25" t="s">
        <v>41</v>
      </c>
      <c r="E56" s="90">
        <f>SUM(E57:E57)</f>
        <v>71009.509999999995</v>
      </c>
      <c r="F56" s="90">
        <f>SUM(F57:F57)</f>
        <v>91311.06</v>
      </c>
      <c r="G56" s="90">
        <f>SUM(G57:G57)</f>
        <v>90943.41</v>
      </c>
      <c r="H56" s="198">
        <f t="shared" si="24"/>
        <v>128.07215540566327</v>
      </c>
      <c r="I56" s="198">
        <f t="shared" si="25"/>
        <v>99.597365313687092</v>
      </c>
    </row>
    <row r="57" spans="1:9" ht="25.5" x14ac:dyDescent="0.25">
      <c r="A57" s="6"/>
      <c r="B57" s="6">
        <v>3132</v>
      </c>
      <c r="C57" s="7"/>
      <c r="D57" s="64" t="s">
        <v>57</v>
      </c>
      <c r="E57" s="126">
        <v>71009.509999999995</v>
      </c>
      <c r="F57" s="126">
        <f>423.85+68.91+6.51+620.13+98010+181.66-8000</f>
        <v>91311.06</v>
      </c>
      <c r="G57" s="123">
        <v>90943.41</v>
      </c>
      <c r="H57" s="179">
        <f t="shared" si="24"/>
        <v>128.07215540566327</v>
      </c>
      <c r="I57" s="179">
        <f t="shared" si="25"/>
        <v>99.597365313687092</v>
      </c>
    </row>
    <row r="58" spans="1:9" x14ac:dyDescent="0.25">
      <c r="A58" s="50"/>
      <c r="B58" s="51">
        <v>32</v>
      </c>
      <c r="C58" s="52"/>
      <c r="D58" s="26" t="s">
        <v>27</v>
      </c>
      <c r="E58" s="125">
        <f t="shared" ref="E58:F58" si="29">SUM(E59,E64,E72,E82,E84)</f>
        <v>87397.290000000008</v>
      </c>
      <c r="F58" s="125">
        <f t="shared" si="29"/>
        <v>104288.25</v>
      </c>
      <c r="G58" s="125">
        <f t="shared" ref="G58" si="30">SUM(G59,G64,G72,G82,G84)</f>
        <v>106553.65</v>
      </c>
      <c r="H58" s="197">
        <f t="shared" si="24"/>
        <v>121.91871166714665</v>
      </c>
      <c r="I58" s="197">
        <f t="shared" si="25"/>
        <v>102.1722485514907</v>
      </c>
    </row>
    <row r="59" spans="1:9" x14ac:dyDescent="0.25">
      <c r="A59" s="38"/>
      <c r="B59" s="39">
        <v>321</v>
      </c>
      <c r="C59" s="37"/>
      <c r="D59" s="25" t="s">
        <v>42</v>
      </c>
      <c r="E59" s="90">
        <f t="shared" ref="E59:F59" si="31">SUM(E60:E63)</f>
        <v>21349.95</v>
      </c>
      <c r="F59" s="127">
        <f t="shared" si="31"/>
        <v>21837.68</v>
      </c>
      <c r="G59" s="90">
        <f t="shared" ref="G59" si="32">SUM(G60:G63)</f>
        <v>22355.37</v>
      </c>
      <c r="H59" s="198">
        <f t="shared" si="24"/>
        <v>104.70923819493723</v>
      </c>
      <c r="I59" s="198">
        <f t="shared" si="25"/>
        <v>102.37062728275164</v>
      </c>
    </row>
    <row r="60" spans="1:9" x14ac:dyDescent="0.25">
      <c r="A60" s="34"/>
      <c r="B60" s="10">
        <v>3211</v>
      </c>
      <c r="C60" s="7"/>
      <c r="D60" s="64" t="s">
        <v>58</v>
      </c>
      <c r="E60" s="126">
        <v>2623.45</v>
      </c>
      <c r="F60" s="128">
        <f>3+558.5+480+1432.54+27</f>
        <v>2501.04</v>
      </c>
      <c r="G60" s="123">
        <v>2643.04</v>
      </c>
      <c r="H60" s="179">
        <f t="shared" si="24"/>
        <v>100.74672663858659</v>
      </c>
      <c r="I60" s="179">
        <f t="shared" si="25"/>
        <v>105.67763810254934</v>
      </c>
    </row>
    <row r="61" spans="1:9" ht="25.5" x14ac:dyDescent="0.25">
      <c r="A61" s="34"/>
      <c r="B61" s="6">
        <v>3212</v>
      </c>
      <c r="C61" s="7"/>
      <c r="D61" s="64" t="s">
        <v>59</v>
      </c>
      <c r="E61" s="126">
        <v>17255.68</v>
      </c>
      <c r="F61" s="128">
        <f>201.78+9.08+81.78+19056+86.5-2000</f>
        <v>17435.14</v>
      </c>
      <c r="G61" s="123">
        <v>17584.73</v>
      </c>
      <c r="H61" s="179">
        <f t="shared" si="24"/>
        <v>101.90690833395149</v>
      </c>
      <c r="I61" s="179">
        <f t="shared" si="25"/>
        <v>100.85797991871588</v>
      </c>
    </row>
    <row r="62" spans="1:9" x14ac:dyDescent="0.25">
      <c r="A62" s="34"/>
      <c r="B62" s="6">
        <v>3213</v>
      </c>
      <c r="C62" s="7"/>
      <c r="D62" s="64" t="s">
        <v>60</v>
      </c>
      <c r="E62" s="126">
        <v>316.5</v>
      </c>
      <c r="F62" s="128">
        <v>401.5</v>
      </c>
      <c r="G62" s="123">
        <v>401.5</v>
      </c>
      <c r="H62" s="179">
        <f t="shared" si="24"/>
        <v>126.8562401263823</v>
      </c>
      <c r="I62" s="179">
        <f t="shared" si="25"/>
        <v>100</v>
      </c>
    </row>
    <row r="63" spans="1:9" ht="25.5" x14ac:dyDescent="0.25">
      <c r="A63" s="34"/>
      <c r="B63" s="6">
        <v>3214</v>
      </c>
      <c r="C63" s="7"/>
      <c r="D63" s="64" t="s">
        <v>61</v>
      </c>
      <c r="E63" s="126">
        <v>1154.32</v>
      </c>
      <c r="F63" s="128">
        <v>1500</v>
      </c>
      <c r="G63" s="123">
        <v>1726.1</v>
      </c>
      <c r="H63" s="179">
        <f t="shared" si="24"/>
        <v>149.53392473490888</v>
      </c>
      <c r="I63" s="179">
        <f t="shared" si="25"/>
        <v>115.07333333333332</v>
      </c>
    </row>
    <row r="64" spans="1:9" x14ac:dyDescent="0.25">
      <c r="A64" s="77"/>
      <c r="B64" s="36">
        <v>322</v>
      </c>
      <c r="C64" s="37"/>
      <c r="D64" s="25" t="s">
        <v>43</v>
      </c>
      <c r="E64" s="129">
        <f t="shared" ref="E64:F64" si="33">SUM(E65:E71)</f>
        <v>39595.360000000008</v>
      </c>
      <c r="F64" s="129">
        <f t="shared" si="33"/>
        <v>41155.660000000003</v>
      </c>
      <c r="G64" s="129">
        <f t="shared" ref="G64" si="34">SUM(G65:G71)</f>
        <v>41865.03</v>
      </c>
      <c r="H64" s="198">
        <f t="shared" si="24"/>
        <v>105.73216154620135</v>
      </c>
      <c r="I64" s="198">
        <f t="shared" si="25"/>
        <v>101.72362683528826</v>
      </c>
    </row>
    <row r="65" spans="1:9" ht="25.5" x14ac:dyDescent="0.25">
      <c r="A65" s="78"/>
      <c r="B65" s="6">
        <v>3221</v>
      </c>
      <c r="C65" s="7"/>
      <c r="D65" s="64" t="s">
        <v>62</v>
      </c>
      <c r="E65" s="130">
        <v>5336.36</v>
      </c>
      <c r="F65" s="130">
        <f>555.11+938.36+3800+595.55</f>
        <v>5889.02</v>
      </c>
      <c r="G65" s="123">
        <v>6878.7</v>
      </c>
      <c r="H65" s="179">
        <f t="shared" si="24"/>
        <v>128.90247284665952</v>
      </c>
      <c r="I65" s="179">
        <f t="shared" si="25"/>
        <v>116.80551263198289</v>
      </c>
    </row>
    <row r="66" spans="1:9" x14ac:dyDescent="0.25">
      <c r="A66" s="79"/>
      <c r="B66" s="6">
        <v>3222</v>
      </c>
      <c r="C66" s="7"/>
      <c r="D66" s="64" t="s">
        <v>63</v>
      </c>
      <c r="E66" s="130">
        <v>23588.63</v>
      </c>
      <c r="F66" s="130">
        <v>24000</v>
      </c>
      <c r="G66" s="123">
        <v>22450.65</v>
      </c>
      <c r="H66" s="179">
        <f t="shared" si="24"/>
        <v>95.175726610659467</v>
      </c>
      <c r="I66" s="179">
        <f t="shared" si="25"/>
        <v>93.544375000000002</v>
      </c>
    </row>
    <row r="67" spans="1:9" x14ac:dyDescent="0.25">
      <c r="A67" s="79"/>
      <c r="B67" s="35">
        <v>3223</v>
      </c>
      <c r="C67" s="9"/>
      <c r="D67" s="64" t="s">
        <v>64</v>
      </c>
      <c r="E67" s="130">
        <v>7119.96</v>
      </c>
      <c r="F67" s="130">
        <v>7500</v>
      </c>
      <c r="G67" s="123">
        <v>9108.3799999999992</v>
      </c>
      <c r="H67" s="179">
        <f t="shared" si="24"/>
        <v>127.9274040865398</v>
      </c>
      <c r="I67" s="179">
        <f t="shared" si="25"/>
        <v>121.44506666666666</v>
      </c>
    </row>
    <row r="68" spans="1:9" ht="25.5" x14ac:dyDescent="0.25">
      <c r="A68" s="79"/>
      <c r="B68" s="10">
        <v>3224</v>
      </c>
      <c r="C68" s="10"/>
      <c r="D68" s="64" t="s">
        <v>65</v>
      </c>
      <c r="E68" s="130">
        <v>1433.23</v>
      </c>
      <c r="F68" s="130">
        <v>2000</v>
      </c>
      <c r="G68" s="123">
        <v>2072.42</v>
      </c>
      <c r="H68" s="179">
        <f t="shared" si="24"/>
        <v>144.59786635780719</v>
      </c>
      <c r="I68" s="179">
        <f t="shared" si="25"/>
        <v>103.62100000000001</v>
      </c>
    </row>
    <row r="69" spans="1:9" x14ac:dyDescent="0.25">
      <c r="A69" s="79"/>
      <c r="B69" s="10">
        <v>3225</v>
      </c>
      <c r="C69" s="7"/>
      <c r="D69" s="64" t="s">
        <v>66</v>
      </c>
      <c r="E69" s="130">
        <v>1850.42</v>
      </c>
      <c r="F69" s="130">
        <f>1242.5+478.69</f>
        <v>1721.19</v>
      </c>
      <c r="G69" s="123">
        <v>1309.43</v>
      </c>
      <c r="H69" s="179">
        <f t="shared" si="24"/>
        <v>70.763934674290169</v>
      </c>
      <c r="I69" s="179">
        <f t="shared" si="25"/>
        <v>76.07701648278227</v>
      </c>
    </row>
    <row r="70" spans="1:9" ht="25.5" x14ac:dyDescent="0.25">
      <c r="A70" s="79"/>
      <c r="B70" s="80">
        <v>3226</v>
      </c>
      <c r="C70" s="79"/>
      <c r="D70" s="64" t="s">
        <v>67</v>
      </c>
      <c r="E70" s="130"/>
      <c r="F70" s="130"/>
      <c r="G70" s="123">
        <f t="shared" ref="G70" si="35">F70-E70</f>
        <v>0</v>
      </c>
      <c r="H70" s="179">
        <v>0</v>
      </c>
      <c r="I70" s="179">
        <v>0</v>
      </c>
    </row>
    <row r="71" spans="1:9" ht="25.5" x14ac:dyDescent="0.25">
      <c r="A71" s="79"/>
      <c r="B71" s="80">
        <v>3227</v>
      </c>
      <c r="C71" s="79"/>
      <c r="D71" s="64" t="s">
        <v>68</v>
      </c>
      <c r="E71" s="130">
        <v>266.76</v>
      </c>
      <c r="F71" s="130">
        <v>45.45</v>
      </c>
      <c r="G71" s="123">
        <v>45.45</v>
      </c>
      <c r="H71" s="179">
        <f t="shared" si="24"/>
        <v>17.037786774628884</v>
      </c>
      <c r="I71" s="179">
        <f t="shared" si="25"/>
        <v>100</v>
      </c>
    </row>
    <row r="72" spans="1:9" x14ac:dyDescent="0.25">
      <c r="A72" s="81"/>
      <c r="B72" s="82">
        <v>323</v>
      </c>
      <c r="C72" s="81"/>
      <c r="D72" s="25" t="s">
        <v>44</v>
      </c>
      <c r="E72" s="129">
        <f t="shared" ref="E72:F72" si="36">SUM(E73:E81)</f>
        <v>16490.11</v>
      </c>
      <c r="F72" s="129">
        <f t="shared" si="36"/>
        <v>36432.239999999998</v>
      </c>
      <c r="G72" s="129">
        <f t="shared" ref="G72" si="37">SUM(G73:G81)</f>
        <v>36931.990000000005</v>
      </c>
      <c r="H72" s="198">
        <f t="shared" si="24"/>
        <v>223.96448537941836</v>
      </c>
      <c r="I72" s="198">
        <f t="shared" si="25"/>
        <v>101.37172460436143</v>
      </c>
    </row>
    <row r="73" spans="1:9" x14ac:dyDescent="0.25">
      <c r="A73" s="83"/>
      <c r="B73" s="80">
        <v>3231</v>
      </c>
      <c r="C73" s="79"/>
      <c r="D73" s="64" t="s">
        <v>69</v>
      </c>
      <c r="E73" s="130">
        <v>3679.76</v>
      </c>
      <c r="F73" s="130">
        <f>450+1360+2000</f>
        <v>3810</v>
      </c>
      <c r="G73" s="123">
        <v>3774.31</v>
      </c>
      <c r="H73" s="179">
        <f t="shared" si="24"/>
        <v>102.56946105180771</v>
      </c>
      <c r="I73" s="179">
        <f t="shared" si="25"/>
        <v>99.063254593175856</v>
      </c>
    </row>
    <row r="74" spans="1:9" ht="25.5" x14ac:dyDescent="0.25">
      <c r="A74" s="79"/>
      <c r="B74" s="80">
        <v>3232</v>
      </c>
      <c r="C74" s="79"/>
      <c r="D74" s="64" t="s">
        <v>70</v>
      </c>
      <c r="E74" s="130">
        <v>2921.74</v>
      </c>
      <c r="F74" s="130">
        <f>8500-6588.75</f>
        <v>1911.25</v>
      </c>
      <c r="G74" s="123">
        <v>2340.58</v>
      </c>
      <c r="H74" s="179">
        <f t="shared" si="24"/>
        <v>80.109113062763967</v>
      </c>
      <c r="I74" s="179">
        <f t="shared" si="25"/>
        <v>122.463309352518</v>
      </c>
    </row>
    <row r="75" spans="1:9" x14ac:dyDescent="0.25">
      <c r="A75" s="79"/>
      <c r="B75" s="80">
        <v>3233</v>
      </c>
      <c r="C75" s="79"/>
      <c r="D75" s="64" t="s">
        <v>71</v>
      </c>
      <c r="E75" s="130">
        <v>127.44</v>
      </c>
      <c r="F75" s="130">
        <v>305</v>
      </c>
      <c r="G75" s="123">
        <v>301.95</v>
      </c>
      <c r="H75" s="179">
        <f t="shared" si="24"/>
        <v>236.9350282485876</v>
      </c>
      <c r="I75" s="179">
        <f t="shared" si="25"/>
        <v>99</v>
      </c>
    </row>
    <row r="76" spans="1:9" x14ac:dyDescent="0.25">
      <c r="A76" s="79"/>
      <c r="B76" s="80">
        <v>3234</v>
      </c>
      <c r="C76" s="79"/>
      <c r="D76" s="64" t="s">
        <v>72</v>
      </c>
      <c r="E76" s="130">
        <v>3202.12</v>
      </c>
      <c r="F76" s="130">
        <v>3540</v>
      </c>
      <c r="G76" s="123">
        <v>3568.1</v>
      </c>
      <c r="H76" s="179">
        <f t="shared" si="24"/>
        <v>111.42930308670506</v>
      </c>
      <c r="I76" s="179">
        <f t="shared" si="25"/>
        <v>100.79378531073446</v>
      </c>
    </row>
    <row r="77" spans="1:9" x14ac:dyDescent="0.25">
      <c r="A77" s="79"/>
      <c r="B77" s="80">
        <v>3235</v>
      </c>
      <c r="C77" s="79"/>
      <c r="D77" s="64" t="s">
        <v>73</v>
      </c>
      <c r="E77" s="130"/>
      <c r="F77" s="130"/>
      <c r="G77" s="123">
        <f t="shared" ref="G77" si="38">F77-E77</f>
        <v>0</v>
      </c>
      <c r="H77" s="179">
        <v>0</v>
      </c>
      <c r="I77" s="179">
        <v>0</v>
      </c>
    </row>
    <row r="78" spans="1:9" ht="25.5" x14ac:dyDescent="0.25">
      <c r="A78" s="79"/>
      <c r="B78" s="80">
        <v>3236</v>
      </c>
      <c r="C78" s="79"/>
      <c r="D78" s="64" t="s">
        <v>74</v>
      </c>
      <c r="E78" s="130">
        <v>964.24</v>
      </c>
      <c r="F78" s="130">
        <v>674.75</v>
      </c>
      <c r="G78" s="123">
        <v>887.75</v>
      </c>
      <c r="H78" s="179">
        <f t="shared" si="24"/>
        <v>92.06732763627312</v>
      </c>
      <c r="I78" s="179">
        <f t="shared" si="25"/>
        <v>131.56724712856612</v>
      </c>
    </row>
    <row r="79" spans="1:9" x14ac:dyDescent="0.25">
      <c r="A79" s="79"/>
      <c r="B79" s="80">
        <v>3237</v>
      </c>
      <c r="C79" s="79"/>
      <c r="D79" s="64" t="s">
        <v>75</v>
      </c>
      <c r="E79" s="130">
        <v>3187.5</v>
      </c>
      <c r="F79" s="130">
        <f>325+22700</f>
        <v>23025</v>
      </c>
      <c r="G79" s="123">
        <v>22700</v>
      </c>
      <c r="H79" s="179">
        <v>0</v>
      </c>
      <c r="I79" s="179">
        <f t="shared" si="25"/>
        <v>98.588490770901188</v>
      </c>
    </row>
    <row r="80" spans="1:9" x14ac:dyDescent="0.25">
      <c r="A80" s="79"/>
      <c r="B80" s="80">
        <v>3238</v>
      </c>
      <c r="C80" s="79"/>
      <c r="D80" s="64" t="s">
        <v>76</v>
      </c>
      <c r="E80" s="130">
        <v>939.62</v>
      </c>
      <c r="F80" s="130">
        <v>1116</v>
      </c>
      <c r="G80" s="123">
        <v>1083.1500000000001</v>
      </c>
      <c r="H80" s="179">
        <f>G80/E80*100</f>
        <v>115.27532406717611</v>
      </c>
      <c r="I80" s="179">
        <f t="shared" si="25"/>
        <v>97.056451612903231</v>
      </c>
    </row>
    <row r="81" spans="1:9" x14ac:dyDescent="0.25">
      <c r="A81" s="79"/>
      <c r="B81" s="80">
        <v>3239</v>
      </c>
      <c r="C81" s="79"/>
      <c r="D81" s="64" t="s">
        <v>77</v>
      </c>
      <c r="E81" s="130">
        <v>1467.69</v>
      </c>
      <c r="F81" s="130">
        <f>292.39+2820.35-1062.5</f>
        <v>2050.2399999999998</v>
      </c>
      <c r="G81" s="123">
        <v>2276.15</v>
      </c>
      <c r="H81" s="179">
        <f t="shared" si="24"/>
        <v>155.08383923035518</v>
      </c>
      <c r="I81" s="179">
        <f t="shared" si="25"/>
        <v>111.01871000468239</v>
      </c>
    </row>
    <row r="82" spans="1:9" ht="25.5" x14ac:dyDescent="0.25">
      <c r="A82" s="81"/>
      <c r="B82" s="82">
        <v>324</v>
      </c>
      <c r="C82" s="81"/>
      <c r="D82" s="25" t="s">
        <v>78</v>
      </c>
      <c r="E82" s="129">
        <f t="shared" ref="E82:G82" si="39">E83</f>
        <v>0</v>
      </c>
      <c r="F82" s="129">
        <f t="shared" si="39"/>
        <v>0</v>
      </c>
      <c r="G82" s="129">
        <f t="shared" si="39"/>
        <v>0</v>
      </c>
      <c r="H82" s="198">
        <v>0</v>
      </c>
      <c r="I82" s="198">
        <v>0</v>
      </c>
    </row>
    <row r="83" spans="1:9" ht="25.5" x14ac:dyDescent="0.25">
      <c r="A83" s="83"/>
      <c r="B83" s="84">
        <v>3241</v>
      </c>
      <c r="C83" s="83"/>
      <c r="D83" s="64" t="s">
        <v>105</v>
      </c>
      <c r="E83" s="131"/>
      <c r="F83" s="131"/>
      <c r="G83" s="131"/>
      <c r="H83" s="179">
        <v>0</v>
      </c>
      <c r="I83" s="179">
        <v>0</v>
      </c>
    </row>
    <row r="84" spans="1:9" ht="25.5" x14ac:dyDescent="0.25">
      <c r="A84" s="81"/>
      <c r="B84" s="82">
        <v>329</v>
      </c>
      <c r="C84" s="81"/>
      <c r="D84" s="25" t="s">
        <v>79</v>
      </c>
      <c r="E84" s="129">
        <f t="shared" ref="E84:F84" si="40">SUM(E85:E91)</f>
        <v>9961.8700000000008</v>
      </c>
      <c r="F84" s="129">
        <f t="shared" si="40"/>
        <v>4862.67</v>
      </c>
      <c r="G84" s="129">
        <f t="shared" ref="G84" si="41">SUM(G85:G91)</f>
        <v>5401.26</v>
      </c>
      <c r="H84" s="198">
        <f t="shared" si="24"/>
        <v>54.219338337079279</v>
      </c>
      <c r="I84" s="198">
        <f t="shared" si="25"/>
        <v>111.07601379489047</v>
      </c>
    </row>
    <row r="85" spans="1:9" ht="38.25" x14ac:dyDescent="0.25">
      <c r="A85" s="83"/>
      <c r="B85" s="80">
        <v>3291</v>
      </c>
      <c r="C85" s="79"/>
      <c r="D85" s="64" t="s">
        <v>80</v>
      </c>
      <c r="E85" s="130">
        <v>150</v>
      </c>
      <c r="F85" s="130"/>
      <c r="G85" s="123">
        <v>0</v>
      </c>
      <c r="H85" s="179">
        <v>0</v>
      </c>
      <c r="I85" s="179">
        <v>0</v>
      </c>
    </row>
    <row r="86" spans="1:9" x14ac:dyDescent="0.25">
      <c r="A86" s="79"/>
      <c r="B86" s="80">
        <v>3292</v>
      </c>
      <c r="C86" s="79"/>
      <c r="D86" s="64" t="s">
        <v>81</v>
      </c>
      <c r="E86" s="130"/>
      <c r="F86" s="130"/>
      <c r="G86" s="123">
        <f t="shared" ref="G86:G90" si="42">F86-E86</f>
        <v>0</v>
      </c>
      <c r="H86" s="179">
        <v>0</v>
      </c>
      <c r="I86" s="179">
        <v>0</v>
      </c>
    </row>
    <row r="87" spans="1:9" x14ac:dyDescent="0.25">
      <c r="A87" s="79"/>
      <c r="B87" s="80">
        <v>3293</v>
      </c>
      <c r="C87" s="79"/>
      <c r="D87" s="64" t="s">
        <v>82</v>
      </c>
      <c r="E87" s="130"/>
      <c r="F87" s="130"/>
      <c r="G87" s="123">
        <f t="shared" si="42"/>
        <v>0</v>
      </c>
      <c r="H87" s="179">
        <v>0</v>
      </c>
      <c r="I87" s="179">
        <v>0</v>
      </c>
    </row>
    <row r="88" spans="1:9" x14ac:dyDescent="0.25">
      <c r="A88" s="79"/>
      <c r="B88" s="80">
        <v>3294</v>
      </c>
      <c r="C88" s="79"/>
      <c r="D88" s="64" t="s">
        <v>83</v>
      </c>
      <c r="E88" s="130">
        <v>176.36</v>
      </c>
      <c r="F88" s="130">
        <v>190</v>
      </c>
      <c r="G88" s="123">
        <v>188.09</v>
      </c>
      <c r="H88" s="179">
        <f t="shared" si="24"/>
        <v>106.65116806532093</v>
      </c>
      <c r="I88" s="179">
        <f t="shared" si="25"/>
        <v>98.994736842105269</v>
      </c>
    </row>
    <row r="89" spans="1:9" x14ac:dyDescent="0.25">
      <c r="A89" s="79"/>
      <c r="B89" s="80">
        <v>3295</v>
      </c>
      <c r="C89" s="79"/>
      <c r="D89" s="64" t="s">
        <v>84</v>
      </c>
      <c r="E89" s="130">
        <v>1678.71</v>
      </c>
      <c r="F89" s="130">
        <f>74.34+2156</f>
        <v>2230.34</v>
      </c>
      <c r="G89" s="123">
        <v>2062.34</v>
      </c>
      <c r="H89" s="179">
        <f t="shared" si="24"/>
        <v>122.85266663092493</v>
      </c>
      <c r="I89" s="179">
        <f t="shared" si="25"/>
        <v>92.467516163454903</v>
      </c>
    </row>
    <row r="90" spans="1:9" x14ac:dyDescent="0.25">
      <c r="A90" s="79"/>
      <c r="B90" s="80">
        <v>3296</v>
      </c>
      <c r="C90" s="79"/>
      <c r="D90" s="64" t="s">
        <v>85</v>
      </c>
      <c r="E90" s="130"/>
      <c r="F90" s="130"/>
      <c r="G90" s="123">
        <f t="shared" si="42"/>
        <v>0</v>
      </c>
      <c r="H90" s="179">
        <v>0</v>
      </c>
      <c r="I90" s="179">
        <v>0</v>
      </c>
    </row>
    <row r="91" spans="1:9" ht="25.5" x14ac:dyDescent="0.25">
      <c r="A91" s="79"/>
      <c r="B91" s="80">
        <v>3299</v>
      </c>
      <c r="C91" s="79"/>
      <c r="D91" s="64" t="s">
        <v>45</v>
      </c>
      <c r="E91" s="130">
        <v>7956.8</v>
      </c>
      <c r="F91" s="130">
        <f>1775.8+420.53+246</f>
        <v>2442.33</v>
      </c>
      <c r="G91" s="123">
        <v>3150.83</v>
      </c>
      <c r="H91" s="179">
        <f t="shared" si="24"/>
        <v>39.599210737985118</v>
      </c>
      <c r="I91" s="179">
        <f t="shared" si="25"/>
        <v>129.00918385312386</v>
      </c>
    </row>
    <row r="92" spans="1:9" x14ac:dyDescent="0.25">
      <c r="A92" s="85"/>
      <c r="B92" s="86">
        <v>34</v>
      </c>
      <c r="C92" s="85"/>
      <c r="D92" s="26" t="s">
        <v>46</v>
      </c>
      <c r="E92" s="125">
        <f t="shared" ref="E92:G92" si="43">E93</f>
        <v>462.05</v>
      </c>
      <c r="F92" s="125">
        <f t="shared" si="43"/>
        <v>520</v>
      </c>
      <c r="G92" s="125">
        <f t="shared" si="43"/>
        <v>503.18</v>
      </c>
      <c r="H92" s="197">
        <f t="shared" si="24"/>
        <v>108.90163402229196</v>
      </c>
      <c r="I92" s="197">
        <f t="shared" si="25"/>
        <v>96.765384615384619</v>
      </c>
    </row>
    <row r="93" spans="1:9" x14ac:dyDescent="0.25">
      <c r="A93" s="81"/>
      <c r="B93" s="82">
        <v>343</v>
      </c>
      <c r="C93" s="81"/>
      <c r="D93" s="25" t="s">
        <v>47</v>
      </c>
      <c r="E93" s="129">
        <f t="shared" ref="E93:F93" si="44">SUM(E94:E95)</f>
        <v>462.05</v>
      </c>
      <c r="F93" s="129">
        <f t="shared" si="44"/>
        <v>520</v>
      </c>
      <c r="G93" s="129">
        <f t="shared" ref="G93" si="45">SUM(G94:G95)</f>
        <v>503.18</v>
      </c>
      <c r="H93" s="198">
        <f t="shared" si="24"/>
        <v>108.90163402229196</v>
      </c>
      <c r="I93" s="198">
        <f t="shared" si="25"/>
        <v>96.765384615384619</v>
      </c>
    </row>
    <row r="94" spans="1:9" ht="25.5" x14ac:dyDescent="0.25">
      <c r="A94" s="83"/>
      <c r="B94" s="80">
        <v>3431</v>
      </c>
      <c r="C94" s="79"/>
      <c r="D94" s="64" t="s">
        <v>86</v>
      </c>
      <c r="E94" s="130">
        <v>462.05</v>
      </c>
      <c r="F94" s="130">
        <v>520</v>
      </c>
      <c r="G94" s="123">
        <v>503.18</v>
      </c>
      <c r="H94" s="179">
        <f t="shared" si="24"/>
        <v>108.90163402229196</v>
      </c>
      <c r="I94" s="179">
        <f t="shared" si="25"/>
        <v>96.765384615384619</v>
      </c>
    </row>
    <row r="95" spans="1:9" x14ac:dyDescent="0.25">
      <c r="A95" s="79"/>
      <c r="B95" s="80">
        <v>3433</v>
      </c>
      <c r="C95" s="79"/>
      <c r="D95" s="64" t="s">
        <v>87</v>
      </c>
      <c r="E95" s="130"/>
      <c r="F95" s="130"/>
      <c r="G95" s="130"/>
      <c r="H95" s="179">
        <v>0</v>
      </c>
      <c r="I95" s="179">
        <v>0</v>
      </c>
    </row>
    <row r="96" spans="1:9" ht="38.25" x14ac:dyDescent="0.25">
      <c r="A96" s="85"/>
      <c r="B96" s="86">
        <v>37</v>
      </c>
      <c r="C96" s="85"/>
      <c r="D96" s="26" t="s">
        <v>48</v>
      </c>
      <c r="E96" s="125">
        <f t="shared" ref="E96:G96" si="46">E97</f>
        <v>3374.96</v>
      </c>
      <c r="F96" s="125">
        <f t="shared" si="46"/>
        <v>5560.31</v>
      </c>
      <c r="G96" s="125">
        <f t="shared" si="46"/>
        <v>5560.31</v>
      </c>
      <c r="H96" s="197">
        <f t="shared" si="24"/>
        <v>164.75187854078271</v>
      </c>
      <c r="I96" s="197">
        <f t="shared" si="25"/>
        <v>100</v>
      </c>
    </row>
    <row r="97" spans="1:9" ht="25.5" x14ac:dyDescent="0.25">
      <c r="A97" s="81"/>
      <c r="B97" s="82">
        <v>372</v>
      </c>
      <c r="C97" s="81"/>
      <c r="D97" s="25" t="s">
        <v>49</v>
      </c>
      <c r="E97" s="129">
        <f t="shared" ref="E97:F97" si="47">SUM(E98:E99)</f>
        <v>3374.96</v>
      </c>
      <c r="F97" s="129">
        <f t="shared" si="47"/>
        <v>5560.31</v>
      </c>
      <c r="G97" s="129">
        <f t="shared" ref="G97" si="48">SUM(G98:G99)</f>
        <v>5560.31</v>
      </c>
      <c r="H97" s="198">
        <f t="shared" si="24"/>
        <v>164.75187854078271</v>
      </c>
      <c r="I97" s="198">
        <f t="shared" si="25"/>
        <v>100</v>
      </c>
    </row>
    <row r="98" spans="1:9" ht="25.5" x14ac:dyDescent="0.25">
      <c r="A98" s="83"/>
      <c r="B98" s="80">
        <v>3721</v>
      </c>
      <c r="C98" s="79"/>
      <c r="D98" s="64" t="s">
        <v>88</v>
      </c>
      <c r="E98" s="130"/>
      <c r="F98" s="130"/>
      <c r="G98" s="130"/>
      <c r="H98" s="179">
        <v>0</v>
      </c>
      <c r="I98" s="179">
        <v>0</v>
      </c>
    </row>
    <row r="99" spans="1:9" ht="25.5" x14ac:dyDescent="0.25">
      <c r="A99" s="79"/>
      <c r="B99" s="80">
        <v>3722</v>
      </c>
      <c r="C99" s="79"/>
      <c r="D99" s="64" t="s">
        <v>89</v>
      </c>
      <c r="E99" s="130">
        <v>3374.96</v>
      </c>
      <c r="F99" s="130">
        <v>5560.31</v>
      </c>
      <c r="G99" s="123">
        <v>5560.31</v>
      </c>
      <c r="H99" s="179">
        <f t="shared" si="24"/>
        <v>164.75187854078271</v>
      </c>
      <c r="I99" s="179">
        <f t="shared" si="25"/>
        <v>100</v>
      </c>
    </row>
    <row r="100" spans="1:9" ht="38.25" x14ac:dyDescent="0.25">
      <c r="A100" s="194"/>
      <c r="B100" s="195">
        <v>4</v>
      </c>
      <c r="C100" s="194"/>
      <c r="D100" s="187" t="s">
        <v>38</v>
      </c>
      <c r="E100" s="196">
        <f t="shared" ref="E100:G100" si="49">E101</f>
        <v>11140.23</v>
      </c>
      <c r="F100" s="196">
        <f>F101+F113</f>
        <v>14725.18</v>
      </c>
      <c r="G100" s="196">
        <f t="shared" si="49"/>
        <v>14868.79</v>
      </c>
      <c r="H100" s="189">
        <f t="shared" si="24"/>
        <v>133.46932693490172</v>
      </c>
      <c r="I100" s="189">
        <f t="shared" si="25"/>
        <v>100.97526821403882</v>
      </c>
    </row>
    <row r="101" spans="1:9" ht="17.25" customHeight="1" x14ac:dyDescent="0.25">
      <c r="A101" s="85"/>
      <c r="B101" s="86">
        <v>42</v>
      </c>
      <c r="C101" s="85"/>
      <c r="D101" s="26" t="s">
        <v>38</v>
      </c>
      <c r="E101" s="125">
        <f t="shared" ref="E101" si="50">SUM(E104,E111)</f>
        <v>11140.23</v>
      </c>
      <c r="F101" s="125">
        <f>SUM(F104,F111,F102)</f>
        <v>14725.18</v>
      </c>
      <c r="G101" s="125">
        <f>SUM(G104,G111,G102)</f>
        <v>14868.79</v>
      </c>
      <c r="H101" s="197">
        <f t="shared" si="24"/>
        <v>133.46932693490172</v>
      </c>
      <c r="I101" s="197">
        <f t="shared" si="25"/>
        <v>100.97526821403882</v>
      </c>
    </row>
    <row r="102" spans="1:9" x14ac:dyDescent="0.25">
      <c r="A102" s="22"/>
      <c r="B102" s="116">
        <v>421</v>
      </c>
      <c r="C102" s="24"/>
      <c r="D102" s="25" t="s">
        <v>168</v>
      </c>
      <c r="E102" s="74"/>
      <c r="F102" s="74">
        <f>F103</f>
        <v>11200</v>
      </c>
      <c r="G102" s="74">
        <f>G103</f>
        <v>11151.25</v>
      </c>
      <c r="H102" s="198">
        <v>0</v>
      </c>
      <c r="I102" s="198">
        <f t="shared" si="25"/>
        <v>99.564732142857139</v>
      </c>
    </row>
    <row r="103" spans="1:9" x14ac:dyDescent="0.25">
      <c r="A103" s="65"/>
      <c r="B103" s="117">
        <v>4212</v>
      </c>
      <c r="C103" s="67"/>
      <c r="D103" s="64" t="s">
        <v>169</v>
      </c>
      <c r="E103" s="75"/>
      <c r="F103" s="75">
        <v>11200</v>
      </c>
      <c r="G103" s="123">
        <v>11151.25</v>
      </c>
      <c r="H103" s="179">
        <v>0</v>
      </c>
      <c r="I103" s="179">
        <f t="shared" si="25"/>
        <v>99.564732142857139</v>
      </c>
    </row>
    <row r="104" spans="1:9" x14ac:dyDescent="0.25">
      <c r="A104" s="81"/>
      <c r="B104" s="82">
        <v>422</v>
      </c>
      <c r="C104" s="81"/>
      <c r="D104" s="25" t="s">
        <v>50</v>
      </c>
      <c r="E104" s="129">
        <f t="shared" ref="E104:F104" si="51">SUM(E105:E110)</f>
        <v>6431.94</v>
      </c>
      <c r="F104" s="129">
        <f t="shared" si="51"/>
        <v>0</v>
      </c>
      <c r="G104" s="129">
        <f t="shared" ref="G104" si="52">SUM(G105:G110)</f>
        <v>0</v>
      </c>
      <c r="H104" s="198">
        <v>0</v>
      </c>
      <c r="I104" s="198">
        <v>0</v>
      </c>
    </row>
    <row r="105" spans="1:9" x14ac:dyDescent="0.25">
      <c r="A105" s="83"/>
      <c r="B105" s="80">
        <v>4221</v>
      </c>
      <c r="C105" s="79"/>
      <c r="D105" s="64" t="s">
        <v>90</v>
      </c>
      <c r="E105" s="130"/>
      <c r="F105" s="130"/>
      <c r="G105" s="130"/>
      <c r="H105" s="179">
        <v>0</v>
      </c>
      <c r="I105" s="179">
        <v>0</v>
      </c>
    </row>
    <row r="106" spans="1:9" x14ac:dyDescent="0.25">
      <c r="A106" s="79"/>
      <c r="B106" s="80">
        <v>4222</v>
      </c>
      <c r="C106" s="79"/>
      <c r="D106" s="64" t="s">
        <v>91</v>
      </c>
      <c r="E106" s="130"/>
      <c r="F106" s="130"/>
      <c r="G106" s="130"/>
      <c r="H106" s="179">
        <v>0</v>
      </c>
      <c r="I106" s="179">
        <v>0</v>
      </c>
    </row>
    <row r="107" spans="1:9" x14ac:dyDescent="0.25">
      <c r="A107" s="79"/>
      <c r="B107" s="80">
        <v>4223</v>
      </c>
      <c r="C107" s="79"/>
      <c r="D107" s="64" t="s">
        <v>92</v>
      </c>
      <c r="E107" s="130"/>
      <c r="F107" s="130"/>
      <c r="G107" s="130"/>
      <c r="H107" s="179">
        <v>0</v>
      </c>
      <c r="I107" s="179">
        <v>0</v>
      </c>
    </row>
    <row r="108" spans="1:9" x14ac:dyDescent="0.25">
      <c r="A108" s="79"/>
      <c r="B108" s="80">
        <v>4225</v>
      </c>
      <c r="C108" s="79"/>
      <c r="D108" s="64" t="s">
        <v>93</v>
      </c>
      <c r="E108" s="130"/>
      <c r="F108" s="130"/>
      <c r="G108" s="130"/>
      <c r="H108" s="179">
        <v>0</v>
      </c>
      <c r="I108" s="179">
        <v>0</v>
      </c>
    </row>
    <row r="109" spans="1:9" x14ac:dyDescent="0.25">
      <c r="A109" s="79"/>
      <c r="B109" s="80">
        <v>4226</v>
      </c>
      <c r="C109" s="79"/>
      <c r="D109" s="64" t="s">
        <v>94</v>
      </c>
      <c r="E109" s="130"/>
      <c r="F109" s="130"/>
      <c r="G109" s="130"/>
      <c r="H109" s="179">
        <v>0</v>
      </c>
      <c r="I109" s="179">
        <v>0</v>
      </c>
    </row>
    <row r="110" spans="1:9" ht="25.5" x14ac:dyDescent="0.25">
      <c r="A110" s="79"/>
      <c r="B110" s="80">
        <v>4227</v>
      </c>
      <c r="C110" s="79"/>
      <c r="D110" s="64" t="s">
        <v>95</v>
      </c>
      <c r="E110" s="130">
        <v>6431.94</v>
      </c>
      <c r="F110" s="130"/>
      <c r="G110" s="130"/>
      <c r="H110" s="179">
        <v>0</v>
      </c>
      <c r="I110" s="179">
        <v>0</v>
      </c>
    </row>
    <row r="111" spans="1:9" ht="25.5" x14ac:dyDescent="0.25">
      <c r="A111" s="81"/>
      <c r="B111" s="82">
        <v>424</v>
      </c>
      <c r="C111" s="81"/>
      <c r="D111" s="25" t="s">
        <v>51</v>
      </c>
      <c r="E111" s="129">
        <f t="shared" ref="E111:G111" si="53">E112</f>
        <v>4708.29</v>
      </c>
      <c r="F111" s="129">
        <f t="shared" si="53"/>
        <v>3525.18</v>
      </c>
      <c r="G111" s="129">
        <f t="shared" si="53"/>
        <v>3717.54</v>
      </c>
      <c r="H111" s="198">
        <f t="shared" si="24"/>
        <v>78.957328456828279</v>
      </c>
      <c r="I111" s="198">
        <f t="shared" si="25"/>
        <v>105.45674263441866</v>
      </c>
    </row>
    <row r="112" spans="1:9" x14ac:dyDescent="0.25">
      <c r="A112" s="83"/>
      <c r="B112" s="87">
        <v>4241</v>
      </c>
      <c r="C112" s="79"/>
      <c r="D112" s="64" t="s">
        <v>96</v>
      </c>
      <c r="E112" s="130">
        <v>4708.29</v>
      </c>
      <c r="F112" s="130">
        <f>3025.18+500</f>
        <v>3525.18</v>
      </c>
      <c r="G112" s="123">
        <v>3717.54</v>
      </c>
      <c r="H112" s="179">
        <f t="shared" si="24"/>
        <v>78.957328456828279</v>
      </c>
      <c r="I112" s="179">
        <f t="shared" si="25"/>
        <v>105.45674263441866</v>
      </c>
    </row>
    <row r="113" spans="1:9" ht="25.5" x14ac:dyDescent="0.25">
      <c r="A113" s="115"/>
      <c r="B113" s="118">
        <v>45</v>
      </c>
      <c r="C113" s="119"/>
      <c r="D113" s="120" t="s">
        <v>160</v>
      </c>
      <c r="E113" s="73"/>
      <c r="F113" s="92">
        <f>F114</f>
        <v>0</v>
      </c>
      <c r="G113" s="73"/>
      <c r="H113" s="197">
        <v>0</v>
      </c>
      <c r="I113" s="197">
        <v>0</v>
      </c>
    </row>
    <row r="114" spans="1:9" ht="25.5" x14ac:dyDescent="0.25">
      <c r="A114" s="22"/>
      <c r="B114" s="116">
        <v>451</v>
      </c>
      <c r="C114" s="24"/>
      <c r="D114" s="25" t="s">
        <v>161</v>
      </c>
      <c r="E114" s="74"/>
      <c r="F114" s="74">
        <f>F115</f>
        <v>0</v>
      </c>
      <c r="G114" s="74"/>
      <c r="H114" s="198">
        <v>0</v>
      </c>
      <c r="I114" s="198">
        <v>0</v>
      </c>
    </row>
    <row r="115" spans="1:9" ht="25.5" x14ac:dyDescent="0.25">
      <c r="A115" s="65"/>
      <c r="B115" s="117">
        <v>4511</v>
      </c>
      <c r="C115" s="67"/>
      <c r="D115" s="64" t="s">
        <v>161</v>
      </c>
      <c r="E115" s="75"/>
      <c r="F115" s="75"/>
      <c r="G115" s="123">
        <f>F115-E115</f>
        <v>0</v>
      </c>
      <c r="H115" s="179">
        <v>0</v>
      </c>
      <c r="I115" s="179">
        <v>0</v>
      </c>
    </row>
    <row r="116" spans="1:9" x14ac:dyDescent="0.25">
      <c r="A116" s="248" t="s">
        <v>106</v>
      </c>
      <c r="B116" s="249"/>
      <c r="C116" s="249"/>
      <c r="D116" s="250"/>
      <c r="E116" s="196">
        <f>SUM(E48,E100)</f>
        <v>625771.53</v>
      </c>
      <c r="F116" s="196">
        <f>SUM(F48,F100)</f>
        <v>816735.03000000014</v>
      </c>
      <c r="G116" s="196">
        <f>SUM(G48,G100)</f>
        <v>799695.95000000019</v>
      </c>
      <c r="H116" s="189">
        <f t="shared" ref="H116" si="54">G116/E116*100</f>
        <v>127.79359744921604</v>
      </c>
      <c r="I116" s="189">
        <f t="shared" ref="I116" si="55">G116/F116*100</f>
        <v>97.91375668067036</v>
      </c>
    </row>
  </sheetData>
  <mergeCells count="8">
    <mergeCell ref="A1:H1"/>
    <mergeCell ref="A10:D10"/>
    <mergeCell ref="A47:D47"/>
    <mergeCell ref="A116:D116"/>
    <mergeCell ref="A7:G7"/>
    <mergeCell ref="A44:G44"/>
    <mergeCell ref="A3:G3"/>
    <mergeCell ref="A5:G5"/>
  </mergeCell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" workbookViewId="0">
      <selection activeCell="B39" sqref="B39"/>
    </sheetView>
  </sheetViews>
  <sheetFormatPr defaultRowHeight="15" x14ac:dyDescent="0.25"/>
  <cols>
    <col min="1" max="4" width="25.28515625" customWidth="1"/>
  </cols>
  <sheetData>
    <row r="1" spans="1:8" ht="42" customHeight="1" x14ac:dyDescent="0.25">
      <c r="A1" s="255" t="s">
        <v>187</v>
      </c>
      <c r="B1" s="255"/>
      <c r="C1" s="255"/>
      <c r="D1" s="255"/>
      <c r="E1" s="255"/>
      <c r="F1" s="255"/>
      <c r="G1" s="255"/>
      <c r="H1" s="255"/>
    </row>
    <row r="2" spans="1:8" ht="18" customHeight="1" x14ac:dyDescent="0.25">
      <c r="A2" s="15"/>
      <c r="B2" s="15"/>
      <c r="C2" s="15"/>
      <c r="D2" s="15"/>
    </row>
    <row r="3" spans="1:8" ht="15.75" customHeight="1" x14ac:dyDescent="0.25">
      <c r="A3" s="251" t="s">
        <v>24</v>
      </c>
      <c r="B3" s="251"/>
      <c r="C3" s="251"/>
      <c r="D3" s="251"/>
    </row>
    <row r="4" spans="1:8" ht="18" x14ac:dyDescent="0.25">
      <c r="B4" s="15"/>
      <c r="C4" s="15"/>
      <c r="D4" s="2"/>
    </row>
    <row r="5" spans="1:8" ht="18" customHeight="1" x14ac:dyDescent="0.25">
      <c r="A5" s="251" t="s">
        <v>7</v>
      </c>
      <c r="B5" s="251"/>
      <c r="C5" s="251"/>
      <c r="D5" s="251"/>
    </row>
    <row r="6" spans="1:8" ht="18" x14ac:dyDescent="0.25">
      <c r="A6" s="15"/>
      <c r="B6" s="15"/>
      <c r="C6" s="15"/>
      <c r="D6" s="2"/>
    </row>
    <row r="7" spans="1:8" ht="15.75" customHeight="1" x14ac:dyDescent="0.25">
      <c r="A7" s="251" t="s">
        <v>147</v>
      </c>
      <c r="B7" s="251"/>
      <c r="C7" s="251"/>
      <c r="D7" s="251"/>
    </row>
    <row r="8" spans="1:8" ht="18" x14ac:dyDescent="0.25">
      <c r="A8" s="15"/>
      <c r="B8" s="15"/>
      <c r="C8" s="15"/>
      <c r="D8" s="2"/>
    </row>
    <row r="9" spans="1:8" ht="25.5" x14ac:dyDescent="0.25">
      <c r="A9" s="14" t="s">
        <v>141</v>
      </c>
      <c r="B9" s="14" t="s">
        <v>188</v>
      </c>
      <c r="C9" s="14" t="s">
        <v>172</v>
      </c>
      <c r="D9" s="14" t="s">
        <v>189</v>
      </c>
      <c r="E9" s="14" t="s">
        <v>173</v>
      </c>
      <c r="F9" s="14" t="s">
        <v>173</v>
      </c>
    </row>
    <row r="10" spans="1:8" ht="25.5" x14ac:dyDescent="0.25">
      <c r="A10" s="167">
        <v>1</v>
      </c>
      <c r="B10" s="170">
        <v>2</v>
      </c>
      <c r="C10" s="171">
        <v>3</v>
      </c>
      <c r="D10" s="171">
        <v>4</v>
      </c>
      <c r="E10" s="170" t="s">
        <v>174</v>
      </c>
      <c r="F10" s="172" t="s">
        <v>175</v>
      </c>
    </row>
    <row r="11" spans="1:8" x14ac:dyDescent="0.25">
      <c r="A11" s="181" t="s">
        <v>0</v>
      </c>
      <c r="B11" s="182">
        <f t="shared" ref="B11:C11" si="0">B12+B14+B16+B19</f>
        <v>622269.11999999988</v>
      </c>
      <c r="C11" s="182">
        <f t="shared" si="0"/>
        <v>816915.54000000015</v>
      </c>
      <c r="D11" s="182">
        <f t="shared" ref="D11" si="1">D12+D14+D16+D19</f>
        <v>795827.07999999984</v>
      </c>
      <c r="E11" s="184">
        <f>D11/B11*100</f>
        <v>127.89114137625855</v>
      </c>
      <c r="F11" s="184">
        <f>D11/C11*100</f>
        <v>97.41852627751453</v>
      </c>
    </row>
    <row r="12" spans="1:8" x14ac:dyDescent="0.25">
      <c r="A12" s="97" t="s">
        <v>140</v>
      </c>
      <c r="B12" s="132">
        <f t="shared" ref="B12:D12" si="2">B13</f>
        <v>955.62</v>
      </c>
      <c r="C12" s="132">
        <f t="shared" si="2"/>
        <v>26933.05</v>
      </c>
      <c r="D12" s="132">
        <f t="shared" si="2"/>
        <v>25955.19</v>
      </c>
      <c r="E12" s="185">
        <v>0</v>
      </c>
      <c r="F12" s="185">
        <f t="shared" ref="F12:F21" si="3">D12/C12*100</f>
        <v>96.369293488854765</v>
      </c>
    </row>
    <row r="13" spans="1:8" x14ac:dyDescent="0.25">
      <c r="A13" s="7" t="s">
        <v>139</v>
      </c>
      <c r="B13" s="126">
        <v>955.62</v>
      </c>
      <c r="C13" s="126">
        <v>26933.05</v>
      </c>
      <c r="D13" s="123">
        <f>22700+3255.19</f>
        <v>25955.19</v>
      </c>
      <c r="E13" s="183">
        <v>0</v>
      </c>
      <c r="F13" s="183">
        <f t="shared" si="3"/>
        <v>96.369293488854765</v>
      </c>
    </row>
    <row r="14" spans="1:8" x14ac:dyDescent="0.25">
      <c r="A14" s="97" t="s">
        <v>138</v>
      </c>
      <c r="B14" s="74">
        <f t="shared" ref="B14:D14" si="4">B15</f>
        <v>3043.8</v>
      </c>
      <c r="C14" s="74">
        <f t="shared" si="4"/>
        <v>2000</v>
      </c>
      <c r="D14" s="74">
        <f t="shared" si="4"/>
        <v>2435.56</v>
      </c>
      <c r="E14" s="185">
        <f t="shared" ref="E14:E21" si="5">D14/B14*100</f>
        <v>80.017083908272539</v>
      </c>
      <c r="F14" s="185">
        <f t="shared" si="3"/>
        <v>121.77799999999999</v>
      </c>
    </row>
    <row r="15" spans="1:8" x14ac:dyDescent="0.25">
      <c r="A15" s="7" t="s">
        <v>137</v>
      </c>
      <c r="B15" s="75">
        <v>3043.8</v>
      </c>
      <c r="C15" s="75">
        <v>2000</v>
      </c>
      <c r="D15" s="123">
        <f>2417+18.56</f>
        <v>2435.56</v>
      </c>
      <c r="E15" s="183">
        <f t="shared" si="5"/>
        <v>80.017083908272539</v>
      </c>
      <c r="F15" s="183">
        <f t="shared" si="3"/>
        <v>121.77799999999999</v>
      </c>
    </row>
    <row r="16" spans="1:8" ht="25.5" x14ac:dyDescent="0.25">
      <c r="A16" s="98" t="s">
        <v>146</v>
      </c>
      <c r="B16" s="74">
        <f t="shared" ref="B16:C16" si="6">B17+B18</f>
        <v>44458.3</v>
      </c>
      <c r="C16" s="74">
        <f t="shared" si="6"/>
        <v>46600</v>
      </c>
      <c r="D16" s="74">
        <f t="shared" ref="D16" si="7">D17+D18</f>
        <v>46607.97</v>
      </c>
      <c r="E16" s="185">
        <f t="shared" si="5"/>
        <v>104.83525011077796</v>
      </c>
      <c r="F16" s="185">
        <f t="shared" si="3"/>
        <v>100.01710300429185</v>
      </c>
    </row>
    <row r="17" spans="1:6" ht="25.5" x14ac:dyDescent="0.25">
      <c r="A17" s="11" t="s">
        <v>145</v>
      </c>
      <c r="B17" s="75">
        <v>12027.97</v>
      </c>
      <c r="C17" s="75">
        <v>5600</v>
      </c>
      <c r="D17" s="123">
        <v>5757.66</v>
      </c>
      <c r="E17" s="183">
        <f t="shared" si="5"/>
        <v>47.868925512783953</v>
      </c>
      <c r="F17" s="183">
        <f t="shared" si="3"/>
        <v>102.81535714285714</v>
      </c>
    </row>
    <row r="18" spans="1:6" ht="23.25" customHeight="1" x14ac:dyDescent="0.25">
      <c r="A18" s="11" t="s">
        <v>150</v>
      </c>
      <c r="B18" s="75">
        <v>32430.33</v>
      </c>
      <c r="C18" s="75">
        <v>41000</v>
      </c>
      <c r="D18" s="123">
        <f>11151.25+4633+9633.06+15433</f>
        <v>40850.31</v>
      </c>
      <c r="E18" s="183">
        <f t="shared" si="5"/>
        <v>125.96328807014913</v>
      </c>
      <c r="F18" s="183">
        <f t="shared" si="3"/>
        <v>99.634902439024387</v>
      </c>
    </row>
    <row r="19" spans="1:6" x14ac:dyDescent="0.25">
      <c r="A19" s="99" t="s">
        <v>144</v>
      </c>
      <c r="B19" s="74">
        <f t="shared" ref="B19:C19" si="8">B20+B21</f>
        <v>573811.39999999991</v>
      </c>
      <c r="C19" s="74">
        <f t="shared" si="8"/>
        <v>741382.49000000011</v>
      </c>
      <c r="D19" s="74">
        <f t="shared" ref="D19" si="9">D20+D21</f>
        <v>720828.35999999987</v>
      </c>
      <c r="E19" s="185">
        <f t="shared" si="5"/>
        <v>125.62112917240751</v>
      </c>
      <c r="F19" s="185">
        <f t="shared" si="3"/>
        <v>97.227594355512736</v>
      </c>
    </row>
    <row r="20" spans="1:6" x14ac:dyDescent="0.25">
      <c r="A20" s="7" t="s">
        <v>149</v>
      </c>
      <c r="B20" s="75">
        <v>243.21</v>
      </c>
      <c r="C20" s="75">
        <v>4757.3100000000004</v>
      </c>
      <c r="D20" s="123">
        <v>3665.45</v>
      </c>
      <c r="E20" s="183">
        <v>0</v>
      </c>
      <c r="F20" s="183">
        <f t="shared" si="3"/>
        <v>77.048794381698897</v>
      </c>
    </row>
    <row r="21" spans="1:6" x14ac:dyDescent="0.25">
      <c r="A21" s="7" t="s">
        <v>143</v>
      </c>
      <c r="B21" s="75">
        <f>573568.19</f>
        <v>573568.18999999994</v>
      </c>
      <c r="C21" s="75">
        <f>3100+733525.18</f>
        <v>736625.18</v>
      </c>
      <c r="D21" s="123">
        <f>2247.57+714915.34</f>
        <v>717162.90999999992</v>
      </c>
      <c r="E21" s="183">
        <f t="shared" si="5"/>
        <v>125.03533538008793</v>
      </c>
      <c r="F21" s="183">
        <f t="shared" si="3"/>
        <v>97.357914102257524</v>
      </c>
    </row>
    <row r="24" spans="1:6" ht="15.75" customHeight="1" x14ac:dyDescent="0.25">
      <c r="A24" s="251" t="s">
        <v>142</v>
      </c>
      <c r="B24" s="251"/>
      <c r="C24" s="251"/>
      <c r="D24" s="251"/>
    </row>
    <row r="25" spans="1:6" ht="18" x14ac:dyDescent="0.25">
      <c r="A25" s="15"/>
      <c r="B25" s="15"/>
      <c r="C25" s="15"/>
      <c r="D25" s="2"/>
    </row>
    <row r="26" spans="1:6" ht="25.5" x14ac:dyDescent="0.25">
      <c r="A26" s="14" t="s">
        <v>141</v>
      </c>
      <c r="B26" s="14" t="s">
        <v>188</v>
      </c>
      <c r="C26" s="14" t="s">
        <v>172</v>
      </c>
      <c r="D26" s="14" t="s">
        <v>189</v>
      </c>
      <c r="E26" s="14" t="s">
        <v>173</v>
      </c>
      <c r="F26" s="14" t="s">
        <v>173</v>
      </c>
    </row>
    <row r="27" spans="1:6" ht="25.5" x14ac:dyDescent="0.25">
      <c r="A27" s="167">
        <v>1</v>
      </c>
      <c r="B27" s="170">
        <v>2</v>
      </c>
      <c r="C27" s="171">
        <v>3</v>
      </c>
      <c r="D27" s="171">
        <v>4</v>
      </c>
      <c r="E27" s="170" t="s">
        <v>174</v>
      </c>
      <c r="F27" s="172" t="s">
        <v>175</v>
      </c>
    </row>
    <row r="28" spans="1:6" x14ac:dyDescent="0.25">
      <c r="A28" s="181" t="s">
        <v>2</v>
      </c>
      <c r="B28" s="182">
        <f t="shared" ref="B28" si="10">B29+B31+B33+B36</f>
        <v>625771.52999999991</v>
      </c>
      <c r="C28" s="182">
        <f t="shared" ref="C28:D28" si="11">C29+C31+C33+C36</f>
        <v>816735.03</v>
      </c>
      <c r="D28" s="182">
        <f t="shared" si="11"/>
        <v>799695.95000000007</v>
      </c>
      <c r="E28" s="184">
        <f>D28/B28*100</f>
        <v>127.79359744921604</v>
      </c>
      <c r="F28" s="184">
        <f>D28/C28*100</f>
        <v>97.91375668067036</v>
      </c>
    </row>
    <row r="29" spans="1:6" s="100" customFormat="1" x14ac:dyDescent="0.25">
      <c r="A29" s="97" t="s">
        <v>140</v>
      </c>
      <c r="B29" s="132">
        <f t="shared" ref="B29" si="12">B30</f>
        <v>955.62</v>
      </c>
      <c r="C29" s="132">
        <f t="shared" ref="C29:D29" si="13">C30</f>
        <v>26933.05</v>
      </c>
      <c r="D29" s="132">
        <f t="shared" si="13"/>
        <v>25955.19</v>
      </c>
      <c r="E29" s="185">
        <v>0</v>
      </c>
      <c r="F29" s="185">
        <f t="shared" ref="F29:F38" si="14">D29/C29*100</f>
        <v>96.369293488854765</v>
      </c>
    </row>
    <row r="30" spans="1:6" x14ac:dyDescent="0.25">
      <c r="A30" s="7" t="s">
        <v>139</v>
      </c>
      <c r="B30" s="126">
        <v>955.62</v>
      </c>
      <c r="C30" s="126">
        <f>3404.46+828.59+22700</f>
        <v>26933.05</v>
      </c>
      <c r="D30" s="123">
        <f>22700+3255.19</f>
        <v>25955.19</v>
      </c>
      <c r="E30" s="183">
        <v>0</v>
      </c>
      <c r="F30" s="183">
        <f t="shared" si="14"/>
        <v>96.369293488854765</v>
      </c>
    </row>
    <row r="31" spans="1:6" x14ac:dyDescent="0.25">
      <c r="A31" s="97" t="s">
        <v>138</v>
      </c>
      <c r="B31" s="74">
        <f t="shared" ref="B31" si="15">B32</f>
        <v>3067.27</v>
      </c>
      <c r="C31" s="74">
        <f t="shared" ref="C31:D31" si="16">C32</f>
        <v>1941.98</v>
      </c>
      <c r="D31" s="74">
        <f t="shared" si="16"/>
        <v>2435.56</v>
      </c>
      <c r="E31" s="185">
        <f t="shared" ref="E31:E38" si="17">D31/B31*100</f>
        <v>79.404812748796161</v>
      </c>
      <c r="F31" s="185">
        <f t="shared" si="14"/>
        <v>125.41632766557842</v>
      </c>
    </row>
    <row r="32" spans="1:6" x14ac:dyDescent="0.25">
      <c r="A32" s="7" t="s">
        <v>137</v>
      </c>
      <c r="B32" s="75">
        <f>2099.27+968</f>
        <v>3067.27</v>
      </c>
      <c r="C32" s="75">
        <v>1941.98</v>
      </c>
      <c r="D32" s="123">
        <v>2435.56</v>
      </c>
      <c r="E32" s="183">
        <f t="shared" si="17"/>
        <v>79.404812748796161</v>
      </c>
      <c r="F32" s="183">
        <f t="shared" si="14"/>
        <v>125.41632766557842</v>
      </c>
    </row>
    <row r="33" spans="1:6" ht="25.5" x14ac:dyDescent="0.25">
      <c r="A33" s="98" t="s">
        <v>146</v>
      </c>
      <c r="B33" s="74">
        <f t="shared" ref="B33" si="18">B34+B35</f>
        <v>46571.96</v>
      </c>
      <c r="C33" s="74">
        <f t="shared" ref="C33:D33" si="19">C34+C35</f>
        <v>47449.56</v>
      </c>
      <c r="D33" s="74">
        <f t="shared" si="19"/>
        <v>50232.36</v>
      </c>
      <c r="E33" s="185">
        <f t="shared" si="17"/>
        <v>107.85966491425314</v>
      </c>
      <c r="F33" s="185">
        <f t="shared" si="14"/>
        <v>105.86475406726639</v>
      </c>
    </row>
    <row r="34" spans="1:6" ht="25.5" x14ac:dyDescent="0.25">
      <c r="A34" s="11" t="s">
        <v>145</v>
      </c>
      <c r="B34" s="75">
        <f>20+10452.17+655.23</f>
        <v>11127.4</v>
      </c>
      <c r="C34" s="75">
        <v>6296.66</v>
      </c>
      <c r="D34" s="123">
        <v>5799.02</v>
      </c>
      <c r="E34" s="183">
        <f t="shared" si="17"/>
        <v>52.114779732911551</v>
      </c>
      <c r="F34" s="183">
        <f t="shared" si="14"/>
        <v>92.096762410547825</v>
      </c>
    </row>
    <row r="35" spans="1:6" x14ac:dyDescent="0.25">
      <c r="A35" s="11" t="s">
        <v>148</v>
      </c>
      <c r="B35" s="75">
        <f>31718.57+462.05+3263.94</f>
        <v>35444.559999999998</v>
      </c>
      <c r="C35" s="75">
        <f>29952.9+11200</f>
        <v>41152.9</v>
      </c>
      <c r="D35" s="123">
        <f>11151.25+33282.09</f>
        <v>44433.34</v>
      </c>
      <c r="E35" s="183">
        <f t="shared" si="17"/>
        <v>125.36011167863276</v>
      </c>
      <c r="F35" s="183">
        <f t="shared" si="14"/>
        <v>107.97134588327917</v>
      </c>
    </row>
    <row r="36" spans="1:6" x14ac:dyDescent="0.25">
      <c r="A36" s="99" t="s">
        <v>144</v>
      </c>
      <c r="B36" s="74">
        <f t="shared" ref="B36" si="20">B37+B38</f>
        <v>575176.67999999993</v>
      </c>
      <c r="C36" s="74">
        <f t="shared" ref="C36:D36" si="21">C37+C38</f>
        <v>740410.44000000006</v>
      </c>
      <c r="D36" s="74">
        <f t="shared" si="21"/>
        <v>721072.84000000008</v>
      </c>
      <c r="E36" s="185">
        <f t="shared" si="17"/>
        <v>125.36545118623378</v>
      </c>
      <c r="F36" s="185">
        <f t="shared" si="14"/>
        <v>97.388259409200117</v>
      </c>
    </row>
    <row r="37" spans="1:6" x14ac:dyDescent="0.25">
      <c r="A37" s="7" t="s">
        <v>149</v>
      </c>
      <c r="B37" s="75">
        <v>243.21</v>
      </c>
      <c r="C37" s="75">
        <v>4757.3100000000004</v>
      </c>
      <c r="D37" s="123">
        <v>3632.05</v>
      </c>
      <c r="E37" s="183">
        <v>0</v>
      </c>
      <c r="F37" s="183">
        <f t="shared" si="14"/>
        <v>76.34671694718233</v>
      </c>
    </row>
    <row r="38" spans="1:6" x14ac:dyDescent="0.25">
      <c r="A38" s="7" t="s">
        <v>143</v>
      </c>
      <c r="B38" s="75">
        <f>522421.38+42884.07+3374.96+6253.06</f>
        <v>574933.47</v>
      </c>
      <c r="C38" s="75">
        <v>735653.13</v>
      </c>
      <c r="D38" s="123">
        <f>715065.81+2374.98</f>
        <v>717440.79</v>
      </c>
      <c r="E38" s="183">
        <f t="shared" si="17"/>
        <v>124.78674967383618</v>
      </c>
      <c r="F38" s="183">
        <f t="shared" si="14"/>
        <v>97.524330522456964</v>
      </c>
    </row>
  </sheetData>
  <mergeCells count="5">
    <mergeCell ref="A24:D24"/>
    <mergeCell ref="A3:D3"/>
    <mergeCell ref="A5:D5"/>
    <mergeCell ref="A7:D7"/>
    <mergeCell ref="A1:H1"/>
  </mergeCells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opLeftCell="A19" workbookViewId="0">
      <selection activeCell="B12" sqref="B12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8" ht="42" customHeight="1" x14ac:dyDescent="0.25">
      <c r="A1" s="225" t="s">
        <v>186</v>
      </c>
      <c r="B1" s="225"/>
      <c r="C1" s="225"/>
      <c r="D1" s="225"/>
      <c r="E1" s="225"/>
      <c r="F1" s="225"/>
      <c r="G1" s="225"/>
      <c r="H1" s="225"/>
    </row>
    <row r="2" spans="1:8" ht="18" customHeight="1" x14ac:dyDescent="0.25">
      <c r="A2" s="1"/>
      <c r="B2" s="1"/>
      <c r="C2" s="1"/>
      <c r="D2" s="1"/>
    </row>
    <row r="3" spans="1:8" ht="15.75" x14ac:dyDescent="0.25">
      <c r="A3" s="251" t="s">
        <v>24</v>
      </c>
      <c r="B3" s="251"/>
      <c r="C3" s="251"/>
      <c r="D3" s="256"/>
    </row>
    <row r="4" spans="1:8" ht="18" x14ac:dyDescent="0.25">
      <c r="A4" s="1"/>
      <c r="B4" s="1"/>
      <c r="C4" s="1"/>
      <c r="D4" s="2"/>
    </row>
    <row r="5" spans="1:8" ht="18" customHeight="1" x14ac:dyDescent="0.25">
      <c r="A5" s="251" t="s">
        <v>7</v>
      </c>
      <c r="B5" s="226"/>
      <c r="C5" s="226"/>
      <c r="D5" s="226"/>
    </row>
    <row r="6" spans="1:8" ht="18" x14ac:dyDescent="0.25">
      <c r="A6" s="1"/>
      <c r="B6" s="1"/>
      <c r="C6" s="1"/>
      <c r="D6" s="2"/>
    </row>
    <row r="7" spans="1:8" ht="15.75" x14ac:dyDescent="0.25">
      <c r="A7" s="251" t="s">
        <v>17</v>
      </c>
      <c r="B7" s="252"/>
      <c r="C7" s="252"/>
      <c r="D7" s="252"/>
    </row>
    <row r="8" spans="1:8" ht="18" x14ac:dyDescent="0.25">
      <c r="A8" s="1"/>
      <c r="B8" s="1"/>
      <c r="C8" s="1"/>
      <c r="D8" s="2"/>
    </row>
    <row r="9" spans="1:8" ht="25.5" x14ac:dyDescent="0.25">
      <c r="A9" s="14" t="s">
        <v>18</v>
      </c>
      <c r="B9" s="14" t="s">
        <v>188</v>
      </c>
      <c r="C9" s="14" t="s">
        <v>172</v>
      </c>
      <c r="D9" s="14" t="s">
        <v>189</v>
      </c>
      <c r="E9" s="14" t="s">
        <v>173</v>
      </c>
      <c r="F9" s="14" t="s">
        <v>173</v>
      </c>
    </row>
    <row r="10" spans="1:8" ht="15.75" customHeight="1" x14ac:dyDescent="0.25">
      <c r="A10" s="167">
        <v>1</v>
      </c>
      <c r="B10" s="170">
        <v>2</v>
      </c>
      <c r="C10" s="171">
        <v>3</v>
      </c>
      <c r="D10" s="171">
        <v>4</v>
      </c>
      <c r="E10" s="170" t="s">
        <v>174</v>
      </c>
      <c r="F10" s="172" t="s">
        <v>175</v>
      </c>
    </row>
    <row r="11" spans="1:8" ht="15.75" customHeight="1" x14ac:dyDescent="0.25">
      <c r="A11" s="5" t="s">
        <v>19</v>
      </c>
      <c r="B11" s="75">
        <f>B12</f>
        <v>625771.53</v>
      </c>
      <c r="C11" s="75">
        <f>C12</f>
        <v>816735.03</v>
      </c>
      <c r="D11" s="123">
        <v>799695.95</v>
      </c>
      <c r="E11" s="183">
        <f>D11/B11*100</f>
        <v>127.79359744921599</v>
      </c>
      <c r="F11" s="183">
        <f>D11/C11*100</f>
        <v>97.913756680670332</v>
      </c>
    </row>
    <row r="12" spans="1:8" x14ac:dyDescent="0.25">
      <c r="A12" s="5" t="s">
        <v>99</v>
      </c>
      <c r="B12" s="75">
        <f t="shared" ref="B12:D12" si="0">SUM(B13,B14,B15)</f>
        <v>625771.53</v>
      </c>
      <c r="C12" s="75">
        <f t="shared" si="0"/>
        <v>816735.03</v>
      </c>
      <c r="D12" s="75">
        <f t="shared" si="0"/>
        <v>799443.15</v>
      </c>
      <c r="E12" s="183">
        <f t="shared" ref="E12:E14" si="1">D12/B12*100</f>
        <v>127.75319931860753</v>
      </c>
      <c r="F12" s="183">
        <f t="shared" ref="F12:F15" si="2">D12/C12*100</f>
        <v>97.88280416967055</v>
      </c>
    </row>
    <row r="13" spans="1:8" x14ac:dyDescent="0.25">
      <c r="A13" s="11" t="s">
        <v>100</v>
      </c>
      <c r="B13" s="126">
        <v>598555.14</v>
      </c>
      <c r="C13" s="126">
        <f>816735.03-C14-C15</f>
        <v>792539.89</v>
      </c>
      <c r="D13" s="123">
        <v>777050.16</v>
      </c>
      <c r="E13" s="183">
        <f t="shared" si="1"/>
        <v>129.82098190652911</v>
      </c>
      <c r="F13" s="183">
        <f t="shared" si="2"/>
        <v>98.045558312528598</v>
      </c>
    </row>
    <row r="14" spans="1:8" ht="29.25" customHeight="1" x14ac:dyDescent="0.25">
      <c r="A14" s="12" t="s">
        <v>101</v>
      </c>
      <c r="B14" s="130">
        <v>26963.59</v>
      </c>
      <c r="C14" s="130">
        <v>24000</v>
      </c>
      <c r="D14" s="123">
        <v>22450.65</v>
      </c>
      <c r="E14" s="183">
        <f t="shared" si="1"/>
        <v>83.262837033199219</v>
      </c>
      <c r="F14" s="183">
        <f t="shared" si="2"/>
        <v>93.544375000000002</v>
      </c>
    </row>
    <row r="15" spans="1:8" ht="25.5" x14ac:dyDescent="0.25">
      <c r="A15" s="12" t="s">
        <v>102</v>
      </c>
      <c r="B15" s="126">
        <v>252.8</v>
      </c>
      <c r="C15" s="126">
        <v>195.14</v>
      </c>
      <c r="D15" s="123">
        <f>C15-B15</f>
        <v>-57.660000000000025</v>
      </c>
      <c r="E15" s="183">
        <v>0</v>
      </c>
      <c r="F15" s="183">
        <f t="shared" si="2"/>
        <v>-29.548016808445233</v>
      </c>
    </row>
  </sheetData>
  <mergeCells count="4">
    <mergeCell ref="A3:D3"/>
    <mergeCell ref="A5:D5"/>
    <mergeCell ref="A7:D7"/>
    <mergeCell ref="A1:H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E7" sqref="E7: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6" width="25.28515625" customWidth="1"/>
    <col min="7" max="7" width="12.42578125" customWidth="1"/>
  </cols>
  <sheetData>
    <row r="1" spans="1:9" ht="42" customHeight="1" x14ac:dyDescent="0.25">
      <c r="A1" s="225" t="s">
        <v>186</v>
      </c>
      <c r="B1" s="225"/>
      <c r="C1" s="225"/>
      <c r="D1" s="225"/>
      <c r="E1" s="225"/>
      <c r="F1" s="225"/>
      <c r="G1" s="225"/>
      <c r="H1" s="225"/>
    </row>
    <row r="2" spans="1:9" ht="18" customHeight="1" x14ac:dyDescent="0.25">
      <c r="A2" s="1"/>
      <c r="B2" s="1"/>
      <c r="C2" s="1"/>
      <c r="D2" s="1"/>
      <c r="E2" s="1"/>
      <c r="F2" s="1"/>
    </row>
    <row r="3" spans="1:9" ht="15.75" x14ac:dyDescent="0.25">
      <c r="A3" s="251" t="s">
        <v>24</v>
      </c>
      <c r="B3" s="251"/>
      <c r="C3" s="251"/>
      <c r="D3" s="251"/>
      <c r="E3" s="251"/>
      <c r="F3" s="251"/>
    </row>
    <row r="4" spans="1:9" ht="18" x14ac:dyDescent="0.25">
      <c r="A4" s="1"/>
      <c r="B4" s="1"/>
      <c r="C4" s="1"/>
      <c r="D4" s="1"/>
      <c r="E4" s="1"/>
      <c r="F4" s="1"/>
    </row>
    <row r="5" spans="1:9" ht="18" customHeight="1" x14ac:dyDescent="0.25">
      <c r="A5" s="251" t="s">
        <v>20</v>
      </c>
      <c r="B5" s="226"/>
      <c r="C5" s="226"/>
      <c r="D5" s="226"/>
      <c r="E5" s="226"/>
      <c r="F5" s="226"/>
    </row>
    <row r="6" spans="1:9" ht="18" x14ac:dyDescent="0.25">
      <c r="A6" s="1"/>
      <c r="B6" s="1"/>
      <c r="C6" s="1"/>
      <c r="D6" s="1"/>
      <c r="E6" s="1"/>
      <c r="F6" s="1"/>
    </row>
    <row r="7" spans="1:9" ht="51" x14ac:dyDescent="0.25">
      <c r="A7" s="14" t="s">
        <v>8</v>
      </c>
      <c r="B7" s="13" t="s">
        <v>9</v>
      </c>
      <c r="C7" s="13" t="s">
        <v>10</v>
      </c>
      <c r="D7" s="13" t="s">
        <v>39</v>
      </c>
      <c r="E7" s="14" t="s">
        <v>188</v>
      </c>
      <c r="F7" s="14" t="s">
        <v>172</v>
      </c>
      <c r="G7" s="14" t="s">
        <v>189</v>
      </c>
      <c r="H7" s="14" t="s">
        <v>173</v>
      </c>
      <c r="I7" s="14" t="s">
        <v>173</v>
      </c>
    </row>
    <row r="8" spans="1:9" ht="25.5" x14ac:dyDescent="0.25">
      <c r="A8" s="245">
        <v>1</v>
      </c>
      <c r="B8" s="257"/>
      <c r="C8" s="257"/>
      <c r="D8" s="258"/>
      <c r="E8" s="170">
        <v>2</v>
      </c>
      <c r="F8" s="171">
        <v>3</v>
      </c>
      <c r="G8" s="171">
        <v>4</v>
      </c>
      <c r="H8" s="170" t="s">
        <v>174</v>
      </c>
      <c r="I8" s="172" t="s">
        <v>175</v>
      </c>
    </row>
    <row r="9" spans="1:9" ht="25.5" x14ac:dyDescent="0.25">
      <c r="A9" s="5">
        <v>8</v>
      </c>
      <c r="B9" s="5"/>
      <c r="C9" s="5"/>
      <c r="D9" s="5" t="s">
        <v>21</v>
      </c>
      <c r="E9" s="4"/>
      <c r="F9" s="4"/>
      <c r="G9" s="109"/>
      <c r="H9" s="109"/>
      <c r="I9" s="109"/>
    </row>
    <row r="10" spans="1:9" x14ac:dyDescent="0.25">
      <c r="A10" s="5"/>
      <c r="B10" s="10">
        <v>84</v>
      </c>
      <c r="C10" s="10"/>
      <c r="D10" s="10" t="s">
        <v>28</v>
      </c>
      <c r="E10" s="4"/>
      <c r="F10" s="4"/>
      <c r="G10" s="109"/>
      <c r="H10" s="109"/>
      <c r="I10" s="109"/>
    </row>
    <row r="11" spans="1:9" ht="25.5" x14ac:dyDescent="0.25">
      <c r="A11" s="6"/>
      <c r="B11" s="6"/>
      <c r="C11" s="7">
        <v>81</v>
      </c>
      <c r="D11" s="11" t="s">
        <v>29</v>
      </c>
      <c r="E11" s="4"/>
      <c r="F11" s="4"/>
      <c r="G11" s="109"/>
      <c r="H11" s="109"/>
      <c r="I11" s="109"/>
    </row>
    <row r="12" spans="1:9" ht="25.5" x14ac:dyDescent="0.25">
      <c r="A12" s="8">
        <v>5</v>
      </c>
      <c r="B12" s="9"/>
      <c r="C12" s="9"/>
      <c r="D12" s="16" t="s">
        <v>22</v>
      </c>
      <c r="E12" s="4"/>
      <c r="F12" s="4"/>
      <c r="G12" s="109"/>
      <c r="H12" s="109"/>
      <c r="I12" s="109"/>
    </row>
    <row r="13" spans="1:9" ht="25.5" x14ac:dyDescent="0.25">
      <c r="A13" s="10"/>
      <c r="B13" s="10">
        <v>54</v>
      </c>
      <c r="C13" s="10"/>
      <c r="D13" s="17" t="s">
        <v>30</v>
      </c>
      <c r="E13" s="4"/>
      <c r="F13" s="4"/>
      <c r="G13" s="109"/>
      <c r="H13" s="109"/>
      <c r="I13" s="109"/>
    </row>
    <row r="14" spans="1:9" x14ac:dyDescent="0.25">
      <c r="A14" s="10"/>
      <c r="B14" s="10"/>
      <c r="C14" s="7">
        <v>11</v>
      </c>
      <c r="D14" s="7" t="s">
        <v>12</v>
      </c>
      <c r="E14" s="4"/>
      <c r="F14" s="4"/>
      <c r="G14" s="109"/>
      <c r="H14" s="109"/>
      <c r="I14" s="109"/>
    </row>
    <row r="15" spans="1:9" x14ac:dyDescent="0.25">
      <c r="A15" s="10"/>
      <c r="B15" s="10"/>
      <c r="C15" s="7">
        <v>31</v>
      </c>
      <c r="D15" s="7" t="s">
        <v>31</v>
      </c>
      <c r="E15" s="4"/>
      <c r="F15" s="4"/>
      <c r="G15" s="109"/>
      <c r="H15" s="109"/>
      <c r="I15" s="109"/>
    </row>
  </sheetData>
  <mergeCells count="4">
    <mergeCell ref="A3:F3"/>
    <mergeCell ref="A5:F5"/>
    <mergeCell ref="A1:H1"/>
    <mergeCell ref="A8:D8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B7" sqref="B7:D7"/>
    </sheetView>
  </sheetViews>
  <sheetFormatPr defaultRowHeight="15" x14ac:dyDescent="0.25"/>
  <cols>
    <col min="1" max="4" width="25.28515625" customWidth="1"/>
  </cols>
  <sheetData>
    <row r="1" spans="1:8" ht="39" customHeight="1" x14ac:dyDescent="0.25">
      <c r="A1" s="225" t="s">
        <v>186</v>
      </c>
      <c r="B1" s="225"/>
      <c r="C1" s="225"/>
      <c r="D1" s="225"/>
      <c r="E1" s="225"/>
      <c r="F1" s="225"/>
      <c r="G1" s="225"/>
      <c r="H1" s="225"/>
    </row>
    <row r="2" spans="1:8" ht="18" x14ac:dyDescent="0.25">
      <c r="A2" s="15"/>
      <c r="B2" s="15"/>
      <c r="C2" s="15"/>
      <c r="D2" s="15"/>
    </row>
    <row r="3" spans="1:8" ht="15.75" x14ac:dyDescent="0.25">
      <c r="A3" s="251" t="s">
        <v>24</v>
      </c>
      <c r="B3" s="251"/>
      <c r="C3" s="251"/>
      <c r="D3" s="251"/>
    </row>
    <row r="4" spans="1:8" ht="18" x14ac:dyDescent="0.25">
      <c r="A4" s="15"/>
      <c r="B4" s="15"/>
      <c r="C4" s="15"/>
      <c r="D4" s="2"/>
    </row>
    <row r="5" spans="1:8" ht="15.75" customHeight="1" x14ac:dyDescent="0.25">
      <c r="A5" s="251" t="s">
        <v>151</v>
      </c>
      <c r="B5" s="251"/>
      <c r="C5" s="251"/>
      <c r="D5" s="251"/>
    </row>
    <row r="6" spans="1:8" ht="18" x14ac:dyDescent="0.25">
      <c r="A6" s="15"/>
      <c r="B6" s="15"/>
      <c r="C6" s="15"/>
      <c r="D6" s="2"/>
    </row>
    <row r="7" spans="1:8" ht="25.5" x14ac:dyDescent="0.25">
      <c r="A7" s="13" t="s">
        <v>141</v>
      </c>
      <c r="B7" s="14" t="s">
        <v>188</v>
      </c>
      <c r="C7" s="14" t="s">
        <v>172</v>
      </c>
      <c r="D7" s="14" t="s">
        <v>189</v>
      </c>
      <c r="E7" s="14" t="s">
        <v>173</v>
      </c>
      <c r="F7" s="14" t="s">
        <v>173</v>
      </c>
    </row>
    <row r="8" spans="1:8" ht="25.5" x14ac:dyDescent="0.25">
      <c r="A8" s="167">
        <v>1</v>
      </c>
      <c r="B8" s="170">
        <v>2</v>
      </c>
      <c r="C8" s="171">
        <v>3</v>
      </c>
      <c r="D8" s="171">
        <v>4</v>
      </c>
      <c r="E8" s="170" t="s">
        <v>174</v>
      </c>
      <c r="F8" s="172" t="s">
        <v>175</v>
      </c>
    </row>
    <row r="9" spans="1:8" x14ac:dyDescent="0.25">
      <c r="A9" s="5" t="s">
        <v>152</v>
      </c>
      <c r="B9" s="4"/>
      <c r="C9" s="4"/>
      <c r="D9" s="4"/>
      <c r="E9" s="109"/>
      <c r="F9" s="109"/>
    </row>
    <row r="10" spans="1:8" ht="25.5" x14ac:dyDescent="0.25">
      <c r="A10" s="5" t="s">
        <v>153</v>
      </c>
      <c r="B10" s="4"/>
      <c r="C10" s="4"/>
      <c r="D10" s="4"/>
      <c r="E10" s="109"/>
      <c r="F10" s="109"/>
    </row>
    <row r="11" spans="1:8" ht="25.5" x14ac:dyDescent="0.25">
      <c r="A11" s="11" t="s">
        <v>154</v>
      </c>
      <c r="B11" s="4"/>
      <c r="C11" s="4"/>
      <c r="D11" s="4"/>
      <c r="E11" s="109"/>
      <c r="F11" s="109"/>
    </row>
    <row r="12" spans="1:8" x14ac:dyDescent="0.25">
      <c r="A12" s="11"/>
      <c r="B12" s="4"/>
      <c r="C12" s="4"/>
      <c r="D12" s="4"/>
      <c r="E12" s="109"/>
      <c r="F12" s="109"/>
    </row>
    <row r="13" spans="1:8" x14ac:dyDescent="0.25">
      <c r="A13" s="5" t="s">
        <v>155</v>
      </c>
      <c r="B13" s="4"/>
      <c r="C13" s="4"/>
      <c r="D13" s="4"/>
      <c r="E13" s="109"/>
      <c r="F13" s="109"/>
    </row>
    <row r="14" spans="1:8" x14ac:dyDescent="0.25">
      <c r="A14" s="16" t="s">
        <v>140</v>
      </c>
      <c r="B14" s="4"/>
      <c r="C14" s="4"/>
      <c r="D14" s="4"/>
      <c r="E14" s="109"/>
      <c r="F14" s="109"/>
    </row>
    <row r="15" spans="1:8" x14ac:dyDescent="0.25">
      <c r="A15" s="7" t="s">
        <v>139</v>
      </c>
      <c r="B15" s="4"/>
      <c r="C15" s="4"/>
      <c r="D15" s="4"/>
      <c r="E15" s="109"/>
      <c r="F15" s="109"/>
    </row>
    <row r="16" spans="1:8" x14ac:dyDescent="0.25">
      <c r="A16" s="16" t="s">
        <v>138</v>
      </c>
      <c r="B16" s="4"/>
      <c r="C16" s="4"/>
      <c r="D16" s="4"/>
      <c r="E16" s="109"/>
      <c r="F16" s="109"/>
    </row>
    <row r="17" spans="1:6" x14ac:dyDescent="0.25">
      <c r="A17" s="7" t="s">
        <v>137</v>
      </c>
      <c r="B17" s="4"/>
      <c r="C17" s="4"/>
      <c r="D17" s="4"/>
      <c r="E17" s="109"/>
      <c r="F17" s="109"/>
    </row>
  </sheetData>
  <mergeCells count="3">
    <mergeCell ref="A3:D3"/>
    <mergeCell ref="A5:D5"/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5"/>
  <sheetViews>
    <sheetView tabSelected="1" topLeftCell="A64" zoomScaleNormal="100" workbookViewId="0">
      <selection activeCell="E412" sqref="E412"/>
    </sheetView>
  </sheetViews>
  <sheetFormatPr defaultRowHeight="15" x14ac:dyDescent="0.25"/>
  <cols>
    <col min="1" max="1" width="7.42578125" bestFit="1" customWidth="1"/>
    <col min="2" max="2" width="8.42578125" customWidth="1"/>
    <col min="3" max="3" width="8.7109375" customWidth="1"/>
    <col min="4" max="4" width="30" customWidth="1"/>
    <col min="5" max="7" width="15.42578125" customWidth="1"/>
  </cols>
  <sheetData>
    <row r="1" spans="1:9" ht="29.25" customHeight="1" x14ac:dyDescent="0.25">
      <c r="A1" s="225" t="s">
        <v>186</v>
      </c>
      <c r="B1" s="225"/>
      <c r="C1" s="225"/>
      <c r="D1" s="225"/>
      <c r="E1" s="225"/>
      <c r="F1" s="225"/>
      <c r="G1" s="225"/>
      <c r="H1" s="225"/>
    </row>
    <row r="2" spans="1:9" ht="18" x14ac:dyDescent="0.25">
      <c r="A2" s="1"/>
      <c r="B2" s="1"/>
      <c r="C2" s="1"/>
      <c r="D2" s="1"/>
      <c r="E2" s="1"/>
      <c r="F2" s="2"/>
      <c r="G2" s="122"/>
    </row>
    <row r="3" spans="1:9" ht="18" customHeight="1" x14ac:dyDescent="0.25">
      <c r="A3" s="251" t="s">
        <v>23</v>
      </c>
      <c r="B3" s="226"/>
      <c r="C3" s="226"/>
      <c r="D3" s="226"/>
      <c r="E3" s="226"/>
      <c r="F3" s="226"/>
      <c r="G3" s="121"/>
    </row>
    <row r="4" spans="1:9" ht="51" x14ac:dyDescent="0.25">
      <c r="A4" s="271" t="s">
        <v>25</v>
      </c>
      <c r="B4" s="272"/>
      <c r="C4" s="273"/>
      <c r="D4" s="13" t="s">
        <v>26</v>
      </c>
      <c r="E4" s="14" t="s">
        <v>188</v>
      </c>
      <c r="F4" s="14" t="s">
        <v>172</v>
      </c>
      <c r="G4" s="14" t="s">
        <v>189</v>
      </c>
      <c r="H4" s="14" t="s">
        <v>173</v>
      </c>
      <c r="I4" s="14" t="s">
        <v>173</v>
      </c>
    </row>
    <row r="5" spans="1:9" ht="25.5" x14ac:dyDescent="0.25">
      <c r="A5" s="175"/>
      <c r="B5" s="173"/>
      <c r="C5" s="174"/>
      <c r="D5" s="167">
        <v>1</v>
      </c>
      <c r="E5" s="170">
        <v>2</v>
      </c>
      <c r="F5" s="171">
        <v>3</v>
      </c>
      <c r="G5" s="171">
        <v>4</v>
      </c>
      <c r="H5" s="170" t="s">
        <v>174</v>
      </c>
      <c r="I5" s="172" t="s">
        <v>175</v>
      </c>
    </row>
    <row r="6" spans="1:9" ht="15" customHeight="1" x14ac:dyDescent="0.25">
      <c r="A6" s="268" t="s">
        <v>98</v>
      </c>
      <c r="B6" s="269"/>
      <c r="C6" s="270"/>
      <c r="D6" s="161" t="s">
        <v>32</v>
      </c>
      <c r="E6" s="3"/>
      <c r="F6" s="3"/>
      <c r="G6" s="3"/>
      <c r="H6" s="109"/>
      <c r="I6" s="109"/>
    </row>
    <row r="7" spans="1:9" ht="15" customHeight="1" x14ac:dyDescent="0.25">
      <c r="A7" s="268" t="s">
        <v>190</v>
      </c>
      <c r="B7" s="269"/>
      <c r="C7" s="270"/>
      <c r="D7" s="110" t="s">
        <v>191</v>
      </c>
      <c r="E7" s="3"/>
      <c r="F7" s="3"/>
      <c r="G7" s="3"/>
      <c r="H7" s="109"/>
      <c r="I7" s="109"/>
    </row>
    <row r="8" spans="1:9" x14ac:dyDescent="0.25">
      <c r="A8" s="259">
        <v>11</v>
      </c>
      <c r="B8" s="260"/>
      <c r="C8" s="261"/>
      <c r="D8" s="162" t="s">
        <v>12</v>
      </c>
      <c r="E8" s="3"/>
      <c r="F8" s="3"/>
      <c r="G8" s="3"/>
      <c r="H8" s="109"/>
      <c r="I8" s="109"/>
    </row>
    <row r="9" spans="1:9" x14ac:dyDescent="0.25">
      <c r="A9" s="262">
        <v>3</v>
      </c>
      <c r="B9" s="263"/>
      <c r="C9" s="264"/>
      <c r="D9" s="200" t="s">
        <v>15</v>
      </c>
      <c r="E9" s="201">
        <f>SUM(E10+E19)</f>
        <v>955.62</v>
      </c>
      <c r="F9" s="201">
        <f>SUM(F10+F19)</f>
        <v>0</v>
      </c>
      <c r="G9" s="201">
        <f>SUM(G10+G19)</f>
        <v>0</v>
      </c>
      <c r="H9" s="207">
        <f>G9/E9*100</f>
        <v>0</v>
      </c>
      <c r="I9" s="207" t="e">
        <f>G9/F9*100</f>
        <v>#DIV/0!</v>
      </c>
    </row>
    <row r="10" spans="1:9" x14ac:dyDescent="0.25">
      <c r="A10" s="265">
        <v>31</v>
      </c>
      <c r="B10" s="266"/>
      <c r="C10" s="267"/>
      <c r="D10" s="26" t="s">
        <v>16</v>
      </c>
      <c r="E10" s="62">
        <f t="shared" ref="E10:F10" si="0">SUM(E11+E15+E17)</f>
        <v>955.62</v>
      </c>
      <c r="F10" s="62">
        <f t="shared" si="0"/>
        <v>0</v>
      </c>
      <c r="G10" s="62">
        <f t="shared" ref="G10" si="1">SUM(G11+G15+G17)</f>
        <v>0</v>
      </c>
      <c r="H10" s="208">
        <f>G10/E10*100</f>
        <v>0</v>
      </c>
      <c r="I10" s="208" t="e">
        <f>G10/F10*100</f>
        <v>#DIV/0!</v>
      </c>
    </row>
    <row r="11" spans="1:9" x14ac:dyDescent="0.25">
      <c r="A11" s="22">
        <v>311</v>
      </c>
      <c r="B11" s="23"/>
      <c r="C11" s="24"/>
      <c r="D11" s="25" t="s">
        <v>40</v>
      </c>
      <c r="E11" s="63">
        <f t="shared" ref="E11:F11" si="2">SUM(E12:E14)</f>
        <v>820.26</v>
      </c>
      <c r="F11" s="63">
        <f t="shared" si="2"/>
        <v>0</v>
      </c>
      <c r="G11" s="63">
        <f t="shared" ref="G11" si="3">SUM(G12:G14)</f>
        <v>0</v>
      </c>
      <c r="H11" s="185">
        <f>G11/E11*100</f>
        <v>0</v>
      </c>
      <c r="I11" s="185" t="e">
        <f>G11/F11*100</f>
        <v>#DIV/0!</v>
      </c>
    </row>
    <row r="12" spans="1:9" x14ac:dyDescent="0.25">
      <c r="A12" s="65">
        <v>3111</v>
      </c>
      <c r="B12" s="66"/>
      <c r="C12" s="67"/>
      <c r="D12" s="64" t="s">
        <v>52</v>
      </c>
      <c r="E12" s="61">
        <v>820.26</v>
      </c>
      <c r="F12" s="61"/>
      <c r="G12" s="124"/>
      <c r="H12" s="183">
        <f>G12/E12*100</f>
        <v>0</v>
      </c>
      <c r="I12" s="183" t="e">
        <f>G12/F12*100</f>
        <v>#DIV/0!</v>
      </c>
    </row>
    <row r="13" spans="1:9" x14ac:dyDescent="0.25">
      <c r="A13" s="65">
        <v>3113</v>
      </c>
      <c r="B13" s="66"/>
      <c r="C13" s="67"/>
      <c r="D13" s="64" t="s">
        <v>53</v>
      </c>
      <c r="E13" s="61"/>
      <c r="F13" s="61"/>
      <c r="G13" s="61"/>
      <c r="H13" s="183"/>
      <c r="I13" s="183"/>
    </row>
    <row r="14" spans="1:9" x14ac:dyDescent="0.25">
      <c r="A14" s="65">
        <v>3114</v>
      </c>
      <c r="B14" s="66"/>
      <c r="C14" s="67"/>
      <c r="D14" s="64" t="s">
        <v>54</v>
      </c>
      <c r="E14" s="61"/>
      <c r="F14" s="61"/>
      <c r="G14" s="61"/>
      <c r="H14" s="183"/>
      <c r="I14" s="183"/>
    </row>
    <row r="15" spans="1:9" x14ac:dyDescent="0.25">
      <c r="A15" s="22">
        <v>312</v>
      </c>
      <c r="B15" s="23"/>
      <c r="C15" s="24"/>
      <c r="D15" s="25" t="s">
        <v>55</v>
      </c>
      <c r="E15" s="63">
        <f t="shared" ref="E15:G15" si="4">SUM(E16)</f>
        <v>0</v>
      </c>
      <c r="F15" s="63">
        <f t="shared" si="4"/>
        <v>0</v>
      </c>
      <c r="G15" s="63">
        <f t="shared" si="4"/>
        <v>0</v>
      </c>
      <c r="H15" s="185" t="e">
        <f t="shared" ref="H15:H20" si="5">G15/E15*100</f>
        <v>#DIV/0!</v>
      </c>
      <c r="I15" s="185" t="e">
        <f t="shared" ref="I15:I20" si="6">G15/F15*100</f>
        <v>#DIV/0!</v>
      </c>
    </row>
    <row r="16" spans="1:9" x14ac:dyDescent="0.25">
      <c r="A16" s="65">
        <v>3121</v>
      </c>
      <c r="B16" s="66"/>
      <c r="C16" s="67"/>
      <c r="D16" s="64" t="s">
        <v>56</v>
      </c>
      <c r="E16" s="61"/>
      <c r="F16" s="61"/>
      <c r="G16" s="124"/>
      <c r="H16" s="183" t="e">
        <f t="shared" si="5"/>
        <v>#DIV/0!</v>
      </c>
      <c r="I16" s="183" t="e">
        <f t="shared" si="6"/>
        <v>#DIV/0!</v>
      </c>
    </row>
    <row r="17" spans="1:9" x14ac:dyDescent="0.25">
      <c r="A17" s="22">
        <v>313</v>
      </c>
      <c r="B17" s="23"/>
      <c r="C17" s="24"/>
      <c r="D17" s="25" t="s">
        <v>41</v>
      </c>
      <c r="E17" s="63">
        <f>SUM(E18:E18)</f>
        <v>135.36000000000001</v>
      </c>
      <c r="F17" s="63">
        <f>SUM(F18:F18)</f>
        <v>0</v>
      </c>
      <c r="G17" s="63">
        <f>SUM(G18:G18)</f>
        <v>0</v>
      </c>
      <c r="H17" s="185">
        <f t="shared" si="5"/>
        <v>0</v>
      </c>
      <c r="I17" s="185" t="e">
        <f t="shared" si="6"/>
        <v>#DIV/0!</v>
      </c>
    </row>
    <row r="18" spans="1:9" ht="25.5" x14ac:dyDescent="0.25">
      <c r="A18" s="65">
        <v>3132</v>
      </c>
      <c r="B18" s="66"/>
      <c r="C18" s="67"/>
      <c r="D18" s="64" t="s">
        <v>57</v>
      </c>
      <c r="E18" s="61">
        <v>135.36000000000001</v>
      </c>
      <c r="F18" s="61"/>
      <c r="G18" s="124"/>
      <c r="H18" s="183">
        <f t="shared" si="5"/>
        <v>0</v>
      </c>
      <c r="I18" s="183" t="e">
        <f t="shared" si="6"/>
        <v>#DIV/0!</v>
      </c>
    </row>
    <row r="19" spans="1:9" x14ac:dyDescent="0.25">
      <c r="A19" s="265">
        <v>32</v>
      </c>
      <c r="B19" s="266"/>
      <c r="C19" s="267"/>
      <c r="D19" s="26" t="s">
        <v>27</v>
      </c>
      <c r="E19" s="62">
        <f t="shared" ref="E19:G19" si="7">SUM(E20)</f>
        <v>0</v>
      </c>
      <c r="F19" s="62">
        <f t="shared" si="7"/>
        <v>0</v>
      </c>
      <c r="G19" s="62">
        <f t="shared" si="7"/>
        <v>0</v>
      </c>
      <c r="H19" s="208" t="e">
        <f t="shared" si="5"/>
        <v>#DIV/0!</v>
      </c>
      <c r="I19" s="208" t="e">
        <f t="shared" si="6"/>
        <v>#DIV/0!</v>
      </c>
    </row>
    <row r="20" spans="1:9" x14ac:dyDescent="0.25">
      <c r="A20" s="22">
        <v>321</v>
      </c>
      <c r="B20" s="23"/>
      <c r="C20" s="24"/>
      <c r="D20" s="25" t="s">
        <v>42</v>
      </c>
      <c r="E20" s="63">
        <f t="shared" ref="E20:F20" si="8">SUM(E21:E24)</f>
        <v>0</v>
      </c>
      <c r="F20" s="63">
        <f t="shared" si="8"/>
        <v>0</v>
      </c>
      <c r="G20" s="63">
        <f t="shared" ref="G20" si="9">SUM(G21:G24)</f>
        <v>0</v>
      </c>
      <c r="H20" s="185" t="e">
        <f t="shared" si="5"/>
        <v>#DIV/0!</v>
      </c>
      <c r="I20" s="185" t="e">
        <f t="shared" si="6"/>
        <v>#DIV/0!</v>
      </c>
    </row>
    <row r="21" spans="1:9" x14ac:dyDescent="0.25">
      <c r="A21" s="65">
        <v>3211</v>
      </c>
      <c r="B21" s="66"/>
      <c r="C21" s="67"/>
      <c r="D21" s="64" t="s">
        <v>58</v>
      </c>
      <c r="E21" s="61"/>
      <c r="F21" s="61"/>
      <c r="G21" s="61"/>
      <c r="H21" s="183"/>
      <c r="I21" s="183"/>
    </row>
    <row r="22" spans="1:9" ht="25.5" x14ac:dyDescent="0.25">
      <c r="A22" s="65">
        <v>3212</v>
      </c>
      <c r="B22" s="66"/>
      <c r="C22" s="67"/>
      <c r="D22" s="64" t="s">
        <v>126</v>
      </c>
      <c r="E22" s="61"/>
      <c r="F22" s="61"/>
      <c r="G22" s="124"/>
      <c r="H22" s="183" t="e">
        <f>G22/E22*100</f>
        <v>#DIV/0!</v>
      </c>
      <c r="I22" s="183" t="e">
        <f>G22/F22*100</f>
        <v>#DIV/0!</v>
      </c>
    </row>
    <row r="23" spans="1:9" x14ac:dyDescent="0.25">
      <c r="A23" s="65">
        <v>3213</v>
      </c>
      <c r="B23" s="66"/>
      <c r="C23" s="67"/>
      <c r="D23" s="64" t="s">
        <v>60</v>
      </c>
      <c r="E23" s="61"/>
      <c r="F23" s="61"/>
      <c r="G23" s="61"/>
      <c r="H23" s="183"/>
      <c r="I23" s="183"/>
    </row>
    <row r="24" spans="1:9" ht="25.5" x14ac:dyDescent="0.25">
      <c r="A24" s="65">
        <v>3214</v>
      </c>
      <c r="B24" s="66"/>
      <c r="C24" s="67"/>
      <c r="D24" s="64" t="s">
        <v>61</v>
      </c>
      <c r="E24" s="61"/>
      <c r="F24" s="61"/>
      <c r="G24" s="61"/>
      <c r="H24" s="183"/>
      <c r="I24" s="183"/>
    </row>
    <row r="25" spans="1:9" x14ac:dyDescent="0.25">
      <c r="A25" s="65"/>
      <c r="B25" s="66"/>
      <c r="C25" s="67"/>
      <c r="D25" s="111" t="s">
        <v>97</v>
      </c>
      <c r="E25" s="113">
        <f>SUM(E9)</f>
        <v>955.62</v>
      </c>
      <c r="F25" s="113">
        <f>SUM(F9)</f>
        <v>0</v>
      </c>
      <c r="G25" s="113">
        <f>SUM(G9)</f>
        <v>0</v>
      </c>
      <c r="H25" s="184">
        <f>G25/E25/100</f>
        <v>0</v>
      </c>
      <c r="I25" s="184" t="e">
        <f>G25/F25*100</f>
        <v>#DIV/0!</v>
      </c>
    </row>
    <row r="26" spans="1:9" x14ac:dyDescent="0.25">
      <c r="A26" s="65"/>
      <c r="B26" s="66"/>
      <c r="C26" s="67"/>
      <c r="D26" s="64"/>
      <c r="E26" s="61"/>
      <c r="F26" s="61"/>
      <c r="G26" s="61"/>
      <c r="H26" s="216"/>
      <c r="I26" s="216"/>
    </row>
    <row r="27" spans="1:9" ht="51" x14ac:dyDescent="0.25">
      <c r="A27" s="271" t="s">
        <v>25</v>
      </c>
      <c r="B27" s="272"/>
      <c r="C27" s="273"/>
      <c r="D27" s="13" t="s">
        <v>26</v>
      </c>
      <c r="E27" s="14" t="s">
        <v>188</v>
      </c>
      <c r="F27" s="14" t="s">
        <v>172</v>
      </c>
      <c r="G27" s="14" t="s">
        <v>189</v>
      </c>
      <c r="H27" s="14" t="s">
        <v>173</v>
      </c>
      <c r="I27" s="14" t="s">
        <v>173</v>
      </c>
    </row>
    <row r="28" spans="1:9" ht="25.5" x14ac:dyDescent="0.25">
      <c r="A28" s="175"/>
      <c r="B28" s="173"/>
      <c r="C28" s="174"/>
      <c r="D28" s="167">
        <v>1</v>
      </c>
      <c r="E28" s="170">
        <v>2</v>
      </c>
      <c r="F28" s="171">
        <v>3</v>
      </c>
      <c r="G28" s="171">
        <v>4</v>
      </c>
      <c r="H28" s="170" t="s">
        <v>174</v>
      </c>
      <c r="I28" s="172" t="s">
        <v>175</v>
      </c>
    </row>
    <row r="29" spans="1:9" ht="15" customHeight="1" x14ac:dyDescent="0.25">
      <c r="A29" s="268" t="s">
        <v>98</v>
      </c>
      <c r="B29" s="269"/>
      <c r="C29" s="270"/>
      <c r="D29" s="104" t="s">
        <v>32</v>
      </c>
      <c r="E29" s="3"/>
      <c r="F29" s="3"/>
      <c r="G29" s="3"/>
      <c r="H29" s="109"/>
      <c r="I29" s="109"/>
    </row>
    <row r="30" spans="1:9" ht="15" customHeight="1" x14ac:dyDescent="0.25">
      <c r="A30" s="268" t="s">
        <v>156</v>
      </c>
      <c r="B30" s="269"/>
      <c r="C30" s="270"/>
      <c r="D30" s="110" t="s">
        <v>157</v>
      </c>
      <c r="E30" s="3"/>
      <c r="F30" s="3"/>
      <c r="G30" s="3"/>
      <c r="H30" s="109"/>
      <c r="I30" s="109"/>
    </row>
    <row r="31" spans="1:9" x14ac:dyDescent="0.25">
      <c r="A31" s="259">
        <v>11</v>
      </c>
      <c r="B31" s="260"/>
      <c r="C31" s="261"/>
      <c r="D31" s="105" t="s">
        <v>12</v>
      </c>
      <c r="E31" s="3"/>
      <c r="F31" s="3"/>
      <c r="G31" s="3"/>
      <c r="H31" s="109"/>
      <c r="I31" s="109"/>
    </row>
    <row r="32" spans="1:9" x14ac:dyDescent="0.25">
      <c r="A32" s="262">
        <v>3</v>
      </c>
      <c r="B32" s="263"/>
      <c r="C32" s="264"/>
      <c r="D32" s="200" t="s">
        <v>15</v>
      </c>
      <c r="E32" s="201">
        <f>SUM(E33+E42)</f>
        <v>0</v>
      </c>
      <c r="F32" s="201">
        <f>SUM(F33+F42)</f>
        <v>3404.46</v>
      </c>
      <c r="G32" s="201">
        <f>SUM(G33+G42)</f>
        <v>2551.64</v>
      </c>
      <c r="H32" s="207" t="e">
        <f>G32/E32*100</f>
        <v>#DIV/0!</v>
      </c>
      <c r="I32" s="207">
        <f>G32/F32*100</f>
        <v>74.949918636142002</v>
      </c>
    </row>
    <row r="33" spans="1:9" x14ac:dyDescent="0.25">
      <c r="A33" s="265">
        <v>31</v>
      </c>
      <c r="B33" s="266"/>
      <c r="C33" s="267"/>
      <c r="D33" s="26" t="s">
        <v>16</v>
      </c>
      <c r="E33" s="62">
        <f t="shared" ref="E33:F33" si="10">SUM(E34+E38+E40)</f>
        <v>0</v>
      </c>
      <c r="F33" s="62">
        <f t="shared" si="10"/>
        <v>3202.68</v>
      </c>
      <c r="G33" s="62">
        <f t="shared" ref="G33" si="11">SUM(G34+G38+G40)</f>
        <v>2395.33</v>
      </c>
      <c r="H33" s="208" t="e">
        <f>G33/E33*100</f>
        <v>#DIV/0!</v>
      </c>
      <c r="I33" s="208">
        <f>G33/F33*100</f>
        <v>74.791424681828971</v>
      </c>
    </row>
    <row r="34" spans="1:9" x14ac:dyDescent="0.25">
      <c r="A34" s="22">
        <v>311</v>
      </c>
      <c r="B34" s="23"/>
      <c r="C34" s="24"/>
      <c r="D34" s="25" t="s">
        <v>40</v>
      </c>
      <c r="E34" s="63">
        <f t="shared" ref="E34:F34" si="12">SUM(E35:E37)</f>
        <v>0</v>
      </c>
      <c r="F34" s="63">
        <f t="shared" si="12"/>
        <v>2568.83</v>
      </c>
      <c r="G34" s="63">
        <f t="shared" ref="G34" si="13">SUM(G35:G37)</f>
        <v>1875.82</v>
      </c>
      <c r="H34" s="185" t="e">
        <f>G34/E34*100</f>
        <v>#DIV/0!</v>
      </c>
      <c r="I34" s="185">
        <f>G34/F34*100</f>
        <v>73.022348695709709</v>
      </c>
    </row>
    <row r="35" spans="1:9" x14ac:dyDescent="0.25">
      <c r="A35" s="65">
        <v>3111</v>
      </c>
      <c r="B35" s="66"/>
      <c r="C35" s="67"/>
      <c r="D35" s="64" t="s">
        <v>52</v>
      </c>
      <c r="E35" s="61"/>
      <c r="F35" s="61">
        <v>2568.83</v>
      </c>
      <c r="G35" s="124">
        <v>1875.82</v>
      </c>
      <c r="H35" s="183" t="e">
        <f>G35/E35*100</f>
        <v>#DIV/0!</v>
      </c>
      <c r="I35" s="183">
        <f>G35/F35*100</f>
        <v>73.022348695709709</v>
      </c>
    </row>
    <row r="36" spans="1:9" x14ac:dyDescent="0.25">
      <c r="A36" s="65">
        <v>3113</v>
      </c>
      <c r="B36" s="66"/>
      <c r="C36" s="67"/>
      <c r="D36" s="64" t="s">
        <v>53</v>
      </c>
      <c r="E36" s="61"/>
      <c r="F36" s="61"/>
      <c r="G36" s="61"/>
      <c r="H36" s="183"/>
      <c r="I36" s="183"/>
    </row>
    <row r="37" spans="1:9" x14ac:dyDescent="0.25">
      <c r="A37" s="65">
        <v>3114</v>
      </c>
      <c r="B37" s="66"/>
      <c r="C37" s="67"/>
      <c r="D37" s="64" t="s">
        <v>54</v>
      </c>
      <c r="E37" s="61"/>
      <c r="F37" s="61"/>
      <c r="G37" s="61"/>
      <c r="H37" s="183"/>
      <c r="I37" s="183"/>
    </row>
    <row r="38" spans="1:9" x14ac:dyDescent="0.25">
      <c r="A38" s="22">
        <v>312</v>
      </c>
      <c r="B38" s="23"/>
      <c r="C38" s="24"/>
      <c r="D38" s="25" t="s">
        <v>55</v>
      </c>
      <c r="E38" s="63">
        <f t="shared" ref="E38:G38" si="14">SUM(E39)</f>
        <v>0</v>
      </c>
      <c r="F38" s="63">
        <f t="shared" si="14"/>
        <v>210</v>
      </c>
      <c r="G38" s="63">
        <f t="shared" si="14"/>
        <v>210</v>
      </c>
      <c r="H38" s="185" t="e">
        <f t="shared" ref="H38:H43" si="15">G38/E38*100</f>
        <v>#DIV/0!</v>
      </c>
      <c r="I38" s="185">
        <f t="shared" ref="I38:I43" si="16">G38/F38*100</f>
        <v>100</v>
      </c>
    </row>
    <row r="39" spans="1:9" x14ac:dyDescent="0.25">
      <c r="A39" s="65">
        <v>3121</v>
      </c>
      <c r="B39" s="66"/>
      <c r="C39" s="67"/>
      <c r="D39" s="64" t="s">
        <v>56</v>
      </c>
      <c r="E39" s="61"/>
      <c r="F39" s="61">
        <v>210</v>
      </c>
      <c r="G39" s="124">
        <f>F39-E39</f>
        <v>210</v>
      </c>
      <c r="H39" s="183" t="e">
        <f t="shared" si="15"/>
        <v>#DIV/0!</v>
      </c>
      <c r="I39" s="183">
        <f t="shared" si="16"/>
        <v>100</v>
      </c>
    </row>
    <row r="40" spans="1:9" x14ac:dyDescent="0.25">
      <c r="A40" s="22">
        <v>313</v>
      </c>
      <c r="B40" s="23"/>
      <c r="C40" s="24"/>
      <c r="D40" s="25" t="s">
        <v>41</v>
      </c>
      <c r="E40" s="63">
        <f>SUM(E41:E41)</f>
        <v>0</v>
      </c>
      <c r="F40" s="63">
        <f>SUM(F41:F41)</f>
        <v>423.85</v>
      </c>
      <c r="G40" s="63">
        <f>SUM(G41:G41)</f>
        <v>309.51</v>
      </c>
      <c r="H40" s="185" t="e">
        <f t="shared" si="15"/>
        <v>#DIV/0!</v>
      </c>
      <c r="I40" s="185">
        <f t="shared" si="16"/>
        <v>73.023475286068177</v>
      </c>
    </row>
    <row r="41" spans="1:9" ht="25.5" x14ac:dyDescent="0.25">
      <c r="A41" s="65">
        <v>3132</v>
      </c>
      <c r="B41" s="66"/>
      <c r="C41" s="67"/>
      <c r="D41" s="64" t="s">
        <v>57</v>
      </c>
      <c r="E41" s="61"/>
      <c r="F41" s="61">
        <v>423.85</v>
      </c>
      <c r="G41" s="124">
        <v>309.51</v>
      </c>
      <c r="H41" s="183" t="e">
        <f t="shared" si="15"/>
        <v>#DIV/0!</v>
      </c>
      <c r="I41" s="183">
        <f t="shared" si="16"/>
        <v>73.023475286068177</v>
      </c>
    </row>
    <row r="42" spans="1:9" x14ac:dyDescent="0.25">
      <c r="A42" s="265">
        <v>32</v>
      </c>
      <c r="B42" s="266"/>
      <c r="C42" s="267"/>
      <c r="D42" s="26" t="s">
        <v>27</v>
      </c>
      <c r="E42" s="62">
        <f t="shared" ref="E42:G42" si="17">SUM(E43)</f>
        <v>0</v>
      </c>
      <c r="F42" s="62">
        <f t="shared" si="17"/>
        <v>201.78</v>
      </c>
      <c r="G42" s="62">
        <f t="shared" si="17"/>
        <v>156.31</v>
      </c>
      <c r="H42" s="208" t="e">
        <f t="shared" si="15"/>
        <v>#DIV/0!</v>
      </c>
      <c r="I42" s="208">
        <f t="shared" si="16"/>
        <v>77.465556546734078</v>
      </c>
    </row>
    <row r="43" spans="1:9" x14ac:dyDescent="0.25">
      <c r="A43" s="22">
        <v>321</v>
      </c>
      <c r="B43" s="23"/>
      <c r="C43" s="24"/>
      <c r="D43" s="25" t="s">
        <v>42</v>
      </c>
      <c r="E43" s="63">
        <f t="shared" ref="E43:F43" si="18">SUM(E44:E47)</f>
        <v>0</v>
      </c>
      <c r="F43" s="63">
        <f t="shared" si="18"/>
        <v>201.78</v>
      </c>
      <c r="G43" s="63">
        <f t="shared" ref="G43" si="19">SUM(G44:G47)</f>
        <v>156.31</v>
      </c>
      <c r="H43" s="185" t="e">
        <f t="shared" si="15"/>
        <v>#DIV/0!</v>
      </c>
      <c r="I43" s="185">
        <f t="shared" si="16"/>
        <v>77.465556546734078</v>
      </c>
    </row>
    <row r="44" spans="1:9" x14ac:dyDescent="0.25">
      <c r="A44" s="65">
        <v>3211</v>
      </c>
      <c r="B44" s="66"/>
      <c r="C44" s="67"/>
      <c r="D44" s="64" t="s">
        <v>58</v>
      </c>
      <c r="E44" s="61"/>
      <c r="F44" s="61"/>
      <c r="G44" s="61"/>
      <c r="H44" s="183"/>
      <c r="I44" s="183"/>
    </row>
    <row r="45" spans="1:9" ht="25.5" x14ac:dyDescent="0.25">
      <c r="A45" s="65">
        <v>3212</v>
      </c>
      <c r="B45" s="66"/>
      <c r="C45" s="67"/>
      <c r="D45" s="64" t="s">
        <v>126</v>
      </c>
      <c r="E45" s="61"/>
      <c r="F45" s="61">
        <f>110.84+90.94</f>
        <v>201.78</v>
      </c>
      <c r="G45" s="124">
        <v>156.31</v>
      </c>
      <c r="H45" s="183" t="e">
        <f>G45/E45*100</f>
        <v>#DIV/0!</v>
      </c>
      <c r="I45" s="183">
        <f>G45/F45*100</f>
        <v>77.465556546734078</v>
      </c>
    </row>
    <row r="46" spans="1:9" x14ac:dyDescent="0.25">
      <c r="A46" s="65">
        <v>3213</v>
      </c>
      <c r="B46" s="66"/>
      <c r="C46" s="67"/>
      <c r="D46" s="64" t="s">
        <v>60</v>
      </c>
      <c r="E46" s="61"/>
      <c r="F46" s="61"/>
      <c r="G46" s="61"/>
      <c r="H46" s="183"/>
      <c r="I46" s="183"/>
    </row>
    <row r="47" spans="1:9" ht="25.5" x14ac:dyDescent="0.25">
      <c r="A47" s="65">
        <v>3214</v>
      </c>
      <c r="B47" s="66"/>
      <c r="C47" s="67"/>
      <c r="D47" s="64" t="s">
        <v>61</v>
      </c>
      <c r="E47" s="61"/>
      <c r="F47" s="61"/>
      <c r="G47" s="61"/>
      <c r="H47" s="183"/>
      <c r="I47" s="183"/>
    </row>
    <row r="48" spans="1:9" x14ac:dyDescent="0.25">
      <c r="A48" s="65"/>
      <c r="B48" s="66"/>
      <c r="C48" s="67"/>
      <c r="D48" s="111" t="s">
        <v>97</v>
      </c>
      <c r="E48" s="113">
        <f>SUM(E32)</f>
        <v>0</v>
      </c>
      <c r="F48" s="113">
        <f>SUM(F32)</f>
        <v>3404.46</v>
      </c>
      <c r="G48" s="113">
        <f>SUM(G32)</f>
        <v>2551.64</v>
      </c>
      <c r="H48" s="184" t="e">
        <f>G48/E48/100</f>
        <v>#DIV/0!</v>
      </c>
      <c r="I48" s="184">
        <f>G48/F48*100</f>
        <v>74.949918636142002</v>
      </c>
    </row>
    <row r="49" spans="1:9" x14ac:dyDescent="0.25">
      <c r="A49" s="65"/>
      <c r="B49" s="66"/>
      <c r="C49" s="67"/>
      <c r="D49" s="64"/>
      <c r="E49" s="3"/>
      <c r="F49" s="3"/>
      <c r="G49" s="3"/>
      <c r="H49" s="109"/>
      <c r="I49" s="109"/>
    </row>
    <row r="50" spans="1:9" ht="51" x14ac:dyDescent="0.25">
      <c r="A50" s="271" t="s">
        <v>25</v>
      </c>
      <c r="B50" s="272"/>
      <c r="C50" s="273"/>
      <c r="D50" s="13" t="s">
        <v>26</v>
      </c>
      <c r="E50" s="14" t="s">
        <v>188</v>
      </c>
      <c r="F50" s="14" t="s">
        <v>172</v>
      </c>
      <c r="G50" s="14" t="s">
        <v>189</v>
      </c>
      <c r="H50" s="14" t="s">
        <v>173</v>
      </c>
      <c r="I50" s="14" t="s">
        <v>173</v>
      </c>
    </row>
    <row r="51" spans="1:9" ht="15" customHeight="1" x14ac:dyDescent="0.25">
      <c r="A51" s="175"/>
      <c r="B51" s="173"/>
      <c r="C51" s="174"/>
      <c r="D51" s="167">
        <v>1</v>
      </c>
      <c r="E51" s="170">
        <v>2</v>
      </c>
      <c r="F51" s="171">
        <v>3</v>
      </c>
      <c r="G51" s="171">
        <v>4</v>
      </c>
      <c r="H51" s="170" t="s">
        <v>174</v>
      </c>
      <c r="I51" s="172" t="s">
        <v>175</v>
      </c>
    </row>
    <row r="52" spans="1:9" x14ac:dyDescent="0.25">
      <c r="A52" s="268" t="s">
        <v>98</v>
      </c>
      <c r="B52" s="269"/>
      <c r="C52" s="270"/>
      <c r="D52" s="104" t="s">
        <v>32</v>
      </c>
      <c r="E52" s="3"/>
      <c r="F52" s="61"/>
      <c r="G52" s="3"/>
      <c r="H52" s="109"/>
      <c r="I52" s="109"/>
    </row>
    <row r="53" spans="1:9" ht="25.5" x14ac:dyDescent="0.25">
      <c r="A53" s="268" t="s">
        <v>158</v>
      </c>
      <c r="B53" s="269"/>
      <c r="C53" s="270"/>
      <c r="D53" s="104" t="s">
        <v>159</v>
      </c>
      <c r="E53" s="61"/>
      <c r="F53" s="61"/>
      <c r="G53" s="61"/>
      <c r="H53" s="109"/>
      <c r="I53" s="109"/>
    </row>
    <row r="54" spans="1:9" x14ac:dyDescent="0.25">
      <c r="A54" s="259">
        <v>11</v>
      </c>
      <c r="B54" s="260"/>
      <c r="C54" s="261"/>
      <c r="D54" s="105" t="s">
        <v>12</v>
      </c>
      <c r="E54" s="61"/>
      <c r="F54" s="61"/>
      <c r="G54" s="61"/>
      <c r="H54" s="109"/>
      <c r="I54" s="109"/>
    </row>
    <row r="55" spans="1:9" x14ac:dyDescent="0.25">
      <c r="A55" s="262">
        <v>3</v>
      </c>
      <c r="B55" s="263"/>
      <c r="C55" s="264"/>
      <c r="D55" s="200" t="s">
        <v>15</v>
      </c>
      <c r="E55" s="201">
        <f>SUM(E56+E65)</f>
        <v>0</v>
      </c>
      <c r="F55" s="201">
        <f>SUM(F56+F65)</f>
        <v>828.59</v>
      </c>
      <c r="G55" s="201">
        <f>SUM(G56+G65)</f>
        <v>703.55000000000007</v>
      </c>
      <c r="H55" s="207" t="e">
        <f>G55/E55*100</f>
        <v>#DIV/0!</v>
      </c>
      <c r="I55" s="207">
        <f>G55/F55*100</f>
        <v>84.90930375698477</v>
      </c>
    </row>
    <row r="56" spans="1:9" x14ac:dyDescent="0.25">
      <c r="A56" s="265">
        <v>31</v>
      </c>
      <c r="B56" s="266"/>
      <c r="C56" s="267"/>
      <c r="D56" s="26" t="s">
        <v>16</v>
      </c>
      <c r="E56" s="62">
        <f t="shared" ref="E56:F56" si="20">SUM(E57+E61+E63)</f>
        <v>0</v>
      </c>
      <c r="F56" s="62">
        <f t="shared" si="20"/>
        <v>816.51</v>
      </c>
      <c r="G56" s="62">
        <f t="shared" ref="G56" si="21">SUM(G57+G61+G63)</f>
        <v>693.48</v>
      </c>
      <c r="H56" s="208" t="e">
        <f>G56/E56*100</f>
        <v>#DIV/0!</v>
      </c>
      <c r="I56" s="208">
        <f>G56/F56*100</f>
        <v>84.932211485468642</v>
      </c>
    </row>
    <row r="57" spans="1:9" x14ac:dyDescent="0.25">
      <c r="A57" s="22">
        <v>311</v>
      </c>
      <c r="B57" s="23"/>
      <c r="C57" s="24"/>
      <c r="D57" s="25" t="s">
        <v>40</v>
      </c>
      <c r="E57" s="63">
        <f t="shared" ref="E57:F57" si="22">SUM(E58:E60)</f>
        <v>0</v>
      </c>
      <c r="F57" s="63">
        <f t="shared" si="22"/>
        <v>417.6</v>
      </c>
      <c r="G57" s="63">
        <f t="shared" ref="G57" si="23">SUM(G58:G60)</f>
        <v>312</v>
      </c>
      <c r="H57" s="185" t="e">
        <f>G57/E57*100</f>
        <v>#DIV/0!</v>
      </c>
      <c r="I57" s="185">
        <f>G57/F57*100</f>
        <v>74.712643678160916</v>
      </c>
    </row>
    <row r="58" spans="1:9" x14ac:dyDescent="0.25">
      <c r="A58" s="65">
        <v>3111</v>
      </c>
      <c r="B58" s="66"/>
      <c r="C58" s="67"/>
      <c r="D58" s="64" t="s">
        <v>52</v>
      </c>
      <c r="E58" s="61"/>
      <c r="F58" s="61">
        <f>211.2+206.4</f>
        <v>417.6</v>
      </c>
      <c r="G58" s="124">
        <v>312</v>
      </c>
      <c r="H58" s="183" t="e">
        <f>G58/E58*100</f>
        <v>#DIV/0!</v>
      </c>
      <c r="I58" s="183">
        <f>G58/F58*100</f>
        <v>74.712643678160916</v>
      </c>
    </row>
    <row r="59" spans="1:9" x14ac:dyDescent="0.25">
      <c r="A59" s="65">
        <v>3113</v>
      </c>
      <c r="B59" s="66"/>
      <c r="C59" s="67"/>
      <c r="D59" s="64" t="s">
        <v>53</v>
      </c>
      <c r="E59" s="61"/>
      <c r="F59" s="61"/>
      <c r="G59" s="61"/>
      <c r="H59" s="109"/>
      <c r="I59" s="109"/>
    </row>
    <row r="60" spans="1:9" x14ac:dyDescent="0.25">
      <c r="A60" s="65">
        <v>3114</v>
      </c>
      <c r="B60" s="66"/>
      <c r="C60" s="67"/>
      <c r="D60" s="64" t="s">
        <v>54</v>
      </c>
      <c r="E60" s="61"/>
      <c r="F60" s="61"/>
      <c r="G60" s="61"/>
      <c r="H60" s="109"/>
      <c r="I60" s="109"/>
    </row>
    <row r="61" spans="1:9" x14ac:dyDescent="0.25">
      <c r="A61" s="22">
        <v>312</v>
      </c>
      <c r="B61" s="23"/>
      <c r="C61" s="24"/>
      <c r="D61" s="25" t="s">
        <v>55</v>
      </c>
      <c r="E61" s="63">
        <f t="shared" ref="E61:G61" si="24">SUM(E62)</f>
        <v>0</v>
      </c>
      <c r="F61" s="63">
        <f t="shared" si="24"/>
        <v>330</v>
      </c>
      <c r="G61" s="63">
        <f t="shared" si="24"/>
        <v>330</v>
      </c>
      <c r="H61" s="185" t="e">
        <f t="shared" ref="H61:H66" si="25">G61/E61*100</f>
        <v>#DIV/0!</v>
      </c>
      <c r="I61" s="185">
        <f t="shared" ref="I61:I66" si="26">G61/F61*100</f>
        <v>100</v>
      </c>
    </row>
    <row r="62" spans="1:9" x14ac:dyDescent="0.25">
      <c r="A62" s="65">
        <v>3121</v>
      </c>
      <c r="B62" s="66"/>
      <c r="C62" s="67"/>
      <c r="D62" s="64" t="s">
        <v>56</v>
      </c>
      <c r="E62" s="61"/>
      <c r="F62" s="61">
        <v>330</v>
      </c>
      <c r="G62" s="124">
        <f>F62-E62</f>
        <v>330</v>
      </c>
      <c r="H62" s="183" t="e">
        <f t="shared" si="25"/>
        <v>#DIV/0!</v>
      </c>
      <c r="I62" s="183">
        <f t="shared" si="26"/>
        <v>100</v>
      </c>
    </row>
    <row r="63" spans="1:9" x14ac:dyDescent="0.25">
      <c r="A63" s="22">
        <v>313</v>
      </c>
      <c r="B63" s="23"/>
      <c r="C63" s="24"/>
      <c r="D63" s="25" t="s">
        <v>41</v>
      </c>
      <c r="E63" s="63">
        <f t="shared" ref="E63:F63" si="27">SUM(E64:E64)</f>
        <v>0</v>
      </c>
      <c r="F63" s="63">
        <f t="shared" si="27"/>
        <v>68.91</v>
      </c>
      <c r="G63" s="63">
        <f>SUM(G64:G64)</f>
        <v>51.48</v>
      </c>
      <c r="H63" s="185" t="e">
        <f t="shared" si="25"/>
        <v>#DIV/0!</v>
      </c>
      <c r="I63" s="185">
        <f t="shared" si="26"/>
        <v>74.706138441445361</v>
      </c>
    </row>
    <row r="64" spans="1:9" ht="25.5" x14ac:dyDescent="0.25">
      <c r="A64" s="65">
        <v>3132</v>
      </c>
      <c r="B64" s="66"/>
      <c r="C64" s="67"/>
      <c r="D64" s="64" t="s">
        <v>57</v>
      </c>
      <c r="E64" s="61"/>
      <c r="F64" s="61">
        <f>34.85+34.06</f>
        <v>68.91</v>
      </c>
      <c r="G64" s="124">
        <v>51.48</v>
      </c>
      <c r="H64" s="183" t="e">
        <f t="shared" si="25"/>
        <v>#DIV/0!</v>
      </c>
      <c r="I64" s="183">
        <f t="shared" si="26"/>
        <v>74.706138441445361</v>
      </c>
    </row>
    <row r="65" spans="1:9" x14ac:dyDescent="0.25">
      <c r="A65" s="265">
        <v>32</v>
      </c>
      <c r="B65" s="266"/>
      <c r="C65" s="267"/>
      <c r="D65" s="26" t="s">
        <v>27</v>
      </c>
      <c r="E65" s="62">
        <f t="shared" ref="E65:G65" si="28">SUM(E66)</f>
        <v>0</v>
      </c>
      <c r="F65" s="62">
        <f t="shared" si="28"/>
        <v>12.08</v>
      </c>
      <c r="G65" s="62">
        <f t="shared" si="28"/>
        <v>10.07</v>
      </c>
      <c r="H65" s="208" t="e">
        <f t="shared" si="25"/>
        <v>#DIV/0!</v>
      </c>
      <c r="I65" s="208">
        <f t="shared" si="26"/>
        <v>83.360927152317885</v>
      </c>
    </row>
    <row r="66" spans="1:9" x14ac:dyDescent="0.25">
      <c r="A66" s="22">
        <v>321</v>
      </c>
      <c r="B66" s="23"/>
      <c r="C66" s="24"/>
      <c r="D66" s="25" t="s">
        <v>42</v>
      </c>
      <c r="E66" s="63">
        <f t="shared" ref="E66:F66" si="29">SUM(E67:E70)</f>
        <v>0</v>
      </c>
      <c r="F66" s="63">
        <f t="shared" si="29"/>
        <v>12.08</v>
      </c>
      <c r="G66" s="63">
        <f t="shared" ref="G66" si="30">SUM(G67:G70)</f>
        <v>10.07</v>
      </c>
      <c r="H66" s="185" t="e">
        <f t="shared" si="25"/>
        <v>#DIV/0!</v>
      </c>
      <c r="I66" s="185">
        <f t="shared" si="26"/>
        <v>83.360927152317885</v>
      </c>
    </row>
    <row r="67" spans="1:9" x14ac:dyDescent="0.25">
      <c r="A67" s="65">
        <v>3211</v>
      </c>
      <c r="B67" s="66"/>
      <c r="C67" s="67"/>
      <c r="D67" s="64" t="s">
        <v>58</v>
      </c>
      <c r="E67" s="61"/>
      <c r="F67" s="61">
        <v>3</v>
      </c>
      <c r="G67" s="124">
        <f t="shared" ref="G67" si="31">F67-E67</f>
        <v>3</v>
      </c>
      <c r="H67" s="183" t="e">
        <f t="shared" ref="H67:H68" si="32">G67/E67*100</f>
        <v>#DIV/0!</v>
      </c>
      <c r="I67" s="183">
        <f t="shared" ref="I67:I68" si="33">G67/F67*100</f>
        <v>100</v>
      </c>
    </row>
    <row r="68" spans="1:9" ht="25.5" x14ac:dyDescent="0.25">
      <c r="A68" s="65">
        <v>3212</v>
      </c>
      <c r="B68" s="66"/>
      <c r="C68" s="67"/>
      <c r="D68" s="64" t="s">
        <v>126</v>
      </c>
      <c r="E68" s="61"/>
      <c r="F68" s="61">
        <f>4.83+4.25</f>
        <v>9.08</v>
      </c>
      <c r="G68" s="124">
        <v>7.07</v>
      </c>
      <c r="H68" s="183" t="e">
        <f t="shared" si="32"/>
        <v>#DIV/0!</v>
      </c>
      <c r="I68" s="183">
        <f t="shared" si="33"/>
        <v>77.863436123348023</v>
      </c>
    </row>
    <row r="69" spans="1:9" x14ac:dyDescent="0.25">
      <c r="A69" s="65">
        <v>3213</v>
      </c>
      <c r="B69" s="66"/>
      <c r="C69" s="67"/>
      <c r="D69" s="64" t="s">
        <v>60</v>
      </c>
      <c r="E69" s="61"/>
      <c r="F69" s="61"/>
      <c r="G69" s="61"/>
      <c r="H69" s="109"/>
      <c r="I69" s="109"/>
    </row>
    <row r="70" spans="1:9" ht="25.5" x14ac:dyDescent="0.25">
      <c r="A70" s="65">
        <v>3214</v>
      </c>
      <c r="B70" s="66"/>
      <c r="C70" s="67"/>
      <c r="D70" s="64" t="s">
        <v>61</v>
      </c>
      <c r="E70" s="61"/>
      <c r="F70" s="61"/>
      <c r="G70" s="61"/>
      <c r="H70" s="109"/>
      <c r="I70" s="109"/>
    </row>
    <row r="71" spans="1:9" x14ac:dyDescent="0.25">
      <c r="A71" s="65"/>
      <c r="B71" s="66"/>
      <c r="C71" s="67"/>
      <c r="D71" s="111" t="s">
        <v>97</v>
      </c>
      <c r="E71" s="113">
        <f>SUM(E55)</f>
        <v>0</v>
      </c>
      <c r="F71" s="113">
        <f>SUM(F55)</f>
        <v>828.59</v>
      </c>
      <c r="G71" s="113">
        <f>SUM(G55)</f>
        <v>703.55000000000007</v>
      </c>
      <c r="H71" s="184" t="e">
        <f>G71/E71/100</f>
        <v>#DIV/0!</v>
      </c>
      <c r="I71" s="184">
        <f>G71/F71*100</f>
        <v>84.90930375698477</v>
      </c>
    </row>
    <row r="72" spans="1:9" ht="15" customHeight="1" x14ac:dyDescent="0.25">
      <c r="A72" s="65"/>
      <c r="B72" s="66"/>
      <c r="C72" s="67"/>
      <c r="D72" s="64"/>
      <c r="E72" s="3"/>
      <c r="F72" s="61"/>
      <c r="G72" s="3"/>
    </row>
    <row r="73" spans="1:9" ht="51" x14ac:dyDescent="0.25">
      <c r="A73" s="271" t="s">
        <v>25</v>
      </c>
      <c r="B73" s="272"/>
      <c r="C73" s="273"/>
      <c r="D73" s="13" t="s">
        <v>26</v>
      </c>
      <c r="E73" s="14" t="s">
        <v>188</v>
      </c>
      <c r="F73" s="14" t="s">
        <v>172</v>
      </c>
      <c r="G73" s="14" t="s">
        <v>189</v>
      </c>
      <c r="H73" s="14" t="s">
        <v>173</v>
      </c>
      <c r="I73" s="14" t="s">
        <v>173</v>
      </c>
    </row>
    <row r="74" spans="1:9" ht="15" customHeight="1" x14ac:dyDescent="0.25">
      <c r="A74" s="175"/>
      <c r="B74" s="173"/>
      <c r="C74" s="174"/>
      <c r="D74" s="167">
        <v>1</v>
      </c>
      <c r="E74" s="170">
        <v>2</v>
      </c>
      <c r="F74" s="171">
        <v>3</v>
      </c>
      <c r="G74" s="171">
        <v>4</v>
      </c>
      <c r="H74" s="170" t="s">
        <v>174</v>
      </c>
      <c r="I74" s="172" t="s">
        <v>175</v>
      </c>
    </row>
    <row r="75" spans="1:9" ht="17.25" customHeight="1" x14ac:dyDescent="0.25">
      <c r="A75" s="268" t="s">
        <v>98</v>
      </c>
      <c r="B75" s="269"/>
      <c r="C75" s="270"/>
      <c r="D75" s="133" t="s">
        <v>32</v>
      </c>
      <c r="E75" s="3"/>
      <c r="F75" s="3"/>
      <c r="G75" s="3"/>
      <c r="H75" s="109"/>
      <c r="I75" s="109"/>
    </row>
    <row r="76" spans="1:9" ht="25.5" customHeight="1" x14ac:dyDescent="0.25">
      <c r="A76" s="268" t="s">
        <v>165</v>
      </c>
      <c r="B76" s="269"/>
      <c r="C76" s="270"/>
      <c r="D76" s="133" t="s">
        <v>166</v>
      </c>
      <c r="E76" s="3"/>
      <c r="F76" s="3"/>
      <c r="G76" s="3"/>
      <c r="H76" s="109"/>
      <c r="I76" s="109"/>
    </row>
    <row r="77" spans="1:9" x14ac:dyDescent="0.25">
      <c r="A77" s="259">
        <v>11</v>
      </c>
      <c r="B77" s="260"/>
      <c r="C77" s="261"/>
      <c r="D77" s="134" t="s">
        <v>12</v>
      </c>
      <c r="E77" s="3"/>
      <c r="F77" s="3"/>
      <c r="G77" s="3"/>
      <c r="H77" s="109"/>
      <c r="I77" s="109"/>
    </row>
    <row r="78" spans="1:9" x14ac:dyDescent="0.25">
      <c r="A78" s="262">
        <v>3</v>
      </c>
      <c r="B78" s="263"/>
      <c r="C78" s="264"/>
      <c r="D78" s="200" t="s">
        <v>15</v>
      </c>
      <c r="E78" s="202">
        <f t="shared" ref="E78:G78" si="34">SUM(E79)</f>
        <v>0</v>
      </c>
      <c r="F78" s="202">
        <f>SUM(F79)</f>
        <v>22700</v>
      </c>
      <c r="G78" s="202">
        <f t="shared" si="34"/>
        <v>22700</v>
      </c>
      <c r="H78" s="207" t="e">
        <f>G78/E78*100</f>
        <v>#DIV/0!</v>
      </c>
      <c r="I78" s="207">
        <f>G78/F78*100</f>
        <v>100</v>
      </c>
    </row>
    <row r="79" spans="1:9" x14ac:dyDescent="0.25">
      <c r="A79" s="265">
        <v>32</v>
      </c>
      <c r="B79" s="266"/>
      <c r="C79" s="267"/>
      <c r="D79" s="26" t="s">
        <v>27</v>
      </c>
      <c r="E79" s="73"/>
      <c r="F79" s="73">
        <f>F80</f>
        <v>22700</v>
      </c>
      <c r="G79" s="73">
        <f>G80</f>
        <v>22700</v>
      </c>
      <c r="H79" s="208" t="e">
        <f>G79/E79*100</f>
        <v>#DIV/0!</v>
      </c>
      <c r="I79" s="208">
        <f>G79/F79*100</f>
        <v>100</v>
      </c>
    </row>
    <row r="80" spans="1:9" x14ac:dyDescent="0.25">
      <c r="A80" s="22">
        <v>323</v>
      </c>
      <c r="B80" s="23"/>
      <c r="C80" s="24"/>
      <c r="D80" s="25" t="s">
        <v>44</v>
      </c>
      <c r="E80" s="74"/>
      <c r="F80" s="74">
        <f>F81</f>
        <v>22700</v>
      </c>
      <c r="G80" s="74">
        <f>G81</f>
        <v>22700</v>
      </c>
      <c r="H80" s="185" t="e">
        <f>G80/E80*100</f>
        <v>#DIV/0!</v>
      </c>
      <c r="I80" s="185">
        <f>G80/F80*100</f>
        <v>100</v>
      </c>
    </row>
    <row r="81" spans="1:9" x14ac:dyDescent="0.25">
      <c r="A81" s="65">
        <v>3237</v>
      </c>
      <c r="B81" s="66"/>
      <c r="C81" s="67"/>
      <c r="D81" s="64" t="s">
        <v>75</v>
      </c>
      <c r="E81" s="75"/>
      <c r="F81" s="75">
        <v>22700</v>
      </c>
      <c r="G81" s="123">
        <f>F81-E81</f>
        <v>22700</v>
      </c>
      <c r="H81" s="183" t="e">
        <f>G81/E81*100</f>
        <v>#DIV/0!</v>
      </c>
      <c r="I81" s="183">
        <f>G81/F81*100</f>
        <v>100</v>
      </c>
    </row>
    <row r="82" spans="1:9" x14ac:dyDescent="0.25">
      <c r="A82" s="65"/>
      <c r="B82" s="66"/>
      <c r="C82" s="67"/>
      <c r="D82" s="111" t="s">
        <v>97</v>
      </c>
      <c r="E82" s="112"/>
      <c r="F82" s="112">
        <v>22700</v>
      </c>
      <c r="G82" s="112">
        <v>22700</v>
      </c>
      <c r="H82" s="184" t="e">
        <f>G82/E82*100</f>
        <v>#DIV/0!</v>
      </c>
      <c r="I82" s="184">
        <f>G82/F82*100</f>
        <v>100</v>
      </c>
    </row>
    <row r="83" spans="1:9" ht="18" x14ac:dyDescent="0.25">
      <c r="A83" s="1"/>
      <c r="B83" s="1"/>
      <c r="C83" s="1"/>
      <c r="D83" s="1"/>
      <c r="E83" s="1"/>
      <c r="F83" s="114"/>
      <c r="G83" s="122"/>
    </row>
    <row r="84" spans="1:9" ht="15" customHeight="1" x14ac:dyDescent="0.25">
      <c r="A84" s="28"/>
      <c r="B84" s="29"/>
      <c r="C84" s="30"/>
      <c r="D84" s="27"/>
      <c r="E84" s="3"/>
      <c r="F84" s="3"/>
      <c r="G84" s="3"/>
    </row>
    <row r="85" spans="1:9" ht="51" x14ac:dyDescent="0.25">
      <c r="A85" s="271" t="s">
        <v>25</v>
      </c>
      <c r="B85" s="272"/>
      <c r="C85" s="273"/>
      <c r="D85" s="13" t="s">
        <v>26</v>
      </c>
      <c r="E85" s="14" t="s">
        <v>188</v>
      </c>
      <c r="F85" s="14" t="s">
        <v>172</v>
      </c>
      <c r="G85" s="14" t="s">
        <v>189</v>
      </c>
      <c r="H85" s="14" t="s">
        <v>173</v>
      </c>
      <c r="I85" s="14" t="s">
        <v>173</v>
      </c>
    </row>
    <row r="86" spans="1:9" ht="15" customHeight="1" x14ac:dyDescent="0.25">
      <c r="A86" s="175"/>
      <c r="B86" s="173"/>
      <c r="C86" s="174"/>
      <c r="D86" s="167">
        <v>1</v>
      </c>
      <c r="E86" s="170">
        <v>2</v>
      </c>
      <c r="F86" s="171">
        <v>3</v>
      </c>
      <c r="G86" s="171">
        <v>4</v>
      </c>
      <c r="H86" s="170" t="s">
        <v>174</v>
      </c>
      <c r="I86" s="172" t="s">
        <v>175</v>
      </c>
    </row>
    <row r="87" spans="1:9" x14ac:dyDescent="0.25">
      <c r="A87" s="268" t="s">
        <v>127</v>
      </c>
      <c r="B87" s="269"/>
      <c r="C87" s="270"/>
      <c r="D87" s="68" t="s">
        <v>132</v>
      </c>
      <c r="E87" s="3"/>
      <c r="F87" s="3"/>
      <c r="G87" s="3"/>
      <c r="H87" s="109"/>
      <c r="I87" s="109"/>
    </row>
    <row r="88" spans="1:9" x14ac:dyDescent="0.25">
      <c r="A88" s="259">
        <v>31</v>
      </c>
      <c r="B88" s="260"/>
      <c r="C88" s="261"/>
      <c r="D88" s="69" t="s">
        <v>128</v>
      </c>
      <c r="E88" s="3"/>
      <c r="F88" s="3"/>
      <c r="G88" s="3"/>
      <c r="H88" s="109"/>
      <c r="I88" s="109"/>
    </row>
    <row r="89" spans="1:9" ht="15" customHeight="1" x14ac:dyDescent="0.25">
      <c r="A89" s="262">
        <v>3</v>
      </c>
      <c r="B89" s="263"/>
      <c r="C89" s="264"/>
      <c r="D89" s="200" t="s">
        <v>15</v>
      </c>
      <c r="E89" s="202">
        <f t="shared" ref="E89" si="35">SUM(E99)</f>
        <v>2099.27</v>
      </c>
      <c r="F89" s="202">
        <f>SUM(F99+F90)</f>
        <v>1941.98</v>
      </c>
      <c r="G89" s="202">
        <f>SUM(G90+G99)</f>
        <v>2435.56</v>
      </c>
      <c r="H89" s="207">
        <f>G89/E89*100</f>
        <v>116.01937816479062</v>
      </c>
      <c r="I89" s="207">
        <f>G89/F89*100</f>
        <v>125.41632766557842</v>
      </c>
    </row>
    <row r="90" spans="1:9" x14ac:dyDescent="0.25">
      <c r="A90" s="265">
        <v>31</v>
      </c>
      <c r="B90" s="266"/>
      <c r="C90" s="267"/>
      <c r="D90" s="26" t="s">
        <v>16</v>
      </c>
      <c r="E90" s="73">
        <f t="shared" ref="E90:F90" si="36">SUM(E91+E95+E97)</f>
        <v>0</v>
      </c>
      <c r="F90" s="73">
        <f t="shared" si="36"/>
        <v>45.98</v>
      </c>
      <c r="G90" s="73">
        <f t="shared" ref="G90" si="37">SUM(G91+G95+G97)</f>
        <v>45.98</v>
      </c>
      <c r="H90" s="208" t="e">
        <f>G90/E90*100</f>
        <v>#DIV/0!</v>
      </c>
      <c r="I90" s="208">
        <f>G90/F90*100</f>
        <v>100</v>
      </c>
    </row>
    <row r="91" spans="1:9" x14ac:dyDescent="0.25">
      <c r="A91" s="22">
        <v>311</v>
      </c>
      <c r="B91" s="23"/>
      <c r="C91" s="24"/>
      <c r="D91" s="25" t="s">
        <v>40</v>
      </c>
      <c r="E91" s="74">
        <f t="shared" ref="E91:F91" si="38">SUM(E92:E94)</f>
        <v>0</v>
      </c>
      <c r="F91" s="74">
        <f t="shared" si="38"/>
        <v>39.47</v>
      </c>
      <c r="G91" s="74">
        <f t="shared" ref="G91" si="39">SUM(G92:G94)</f>
        <v>39.47</v>
      </c>
      <c r="H91" s="185" t="e">
        <f>G91/E91*100</f>
        <v>#DIV/0!</v>
      </c>
      <c r="I91" s="185">
        <f>G91/F91*100</f>
        <v>100</v>
      </c>
    </row>
    <row r="92" spans="1:9" x14ac:dyDescent="0.25">
      <c r="A92" s="65">
        <v>3111</v>
      </c>
      <c r="B92" s="66"/>
      <c r="C92" s="67"/>
      <c r="D92" s="64" t="s">
        <v>52</v>
      </c>
      <c r="E92" s="75">
        <v>0</v>
      </c>
      <c r="F92" s="75">
        <v>39.47</v>
      </c>
      <c r="G92" s="123">
        <f>F92-E92</f>
        <v>39.47</v>
      </c>
      <c r="H92" s="183" t="e">
        <f>G92/E92*100</f>
        <v>#DIV/0!</v>
      </c>
      <c r="I92" s="183">
        <f>G92/F92*100</f>
        <v>100</v>
      </c>
    </row>
    <row r="93" spans="1:9" x14ac:dyDescent="0.25">
      <c r="A93" s="65">
        <v>3113</v>
      </c>
      <c r="B93" s="66"/>
      <c r="C93" s="67"/>
      <c r="D93" s="64" t="s">
        <v>53</v>
      </c>
      <c r="E93" s="75"/>
      <c r="F93" s="75"/>
      <c r="G93" s="75"/>
      <c r="H93" s="109"/>
      <c r="I93" s="109"/>
    </row>
    <row r="94" spans="1:9" x14ac:dyDescent="0.25">
      <c r="A94" s="65">
        <v>3114</v>
      </c>
      <c r="B94" s="66"/>
      <c r="C94" s="67"/>
      <c r="D94" s="64" t="s">
        <v>54</v>
      </c>
      <c r="E94" s="75"/>
      <c r="F94" s="75"/>
      <c r="G94" s="75"/>
      <c r="H94" s="109"/>
      <c r="I94" s="109"/>
    </row>
    <row r="95" spans="1:9" x14ac:dyDescent="0.25">
      <c r="A95" s="22">
        <v>312</v>
      </c>
      <c r="B95" s="23"/>
      <c r="C95" s="24"/>
      <c r="D95" s="25" t="s">
        <v>55</v>
      </c>
      <c r="E95" s="74">
        <f t="shared" ref="E95:G95" si="40">SUM(E96)</f>
        <v>0</v>
      </c>
      <c r="F95" s="74">
        <f t="shared" si="40"/>
        <v>0</v>
      </c>
      <c r="G95" s="74">
        <f t="shared" si="40"/>
        <v>0</v>
      </c>
      <c r="H95" s="199"/>
      <c r="I95" s="199"/>
    </row>
    <row r="96" spans="1:9" x14ac:dyDescent="0.25">
      <c r="A96" s="65">
        <v>3121</v>
      </c>
      <c r="B96" s="66"/>
      <c r="C96" s="67"/>
      <c r="D96" s="64" t="s">
        <v>56</v>
      </c>
      <c r="E96" s="75"/>
      <c r="F96" s="75"/>
      <c r="G96" s="75"/>
      <c r="H96" s="109"/>
      <c r="I96" s="109"/>
    </row>
    <row r="97" spans="1:9" x14ac:dyDescent="0.25">
      <c r="A97" s="22">
        <v>313</v>
      </c>
      <c r="B97" s="23"/>
      <c r="C97" s="24"/>
      <c r="D97" s="25" t="s">
        <v>41</v>
      </c>
      <c r="E97" s="74">
        <f>SUM(E98:E98)</f>
        <v>0</v>
      </c>
      <c r="F97" s="74">
        <f>SUM(F98:F98)</f>
        <v>6.51</v>
      </c>
      <c r="G97" s="74">
        <f>SUM(G98:G98)</f>
        <v>6.51</v>
      </c>
      <c r="H97" s="185" t="e">
        <f>G97/E97*100</f>
        <v>#DIV/0!</v>
      </c>
      <c r="I97" s="185">
        <f>G97/F97*100</f>
        <v>100</v>
      </c>
    </row>
    <row r="98" spans="1:9" ht="25.5" x14ac:dyDescent="0.25">
      <c r="A98" s="65">
        <v>3132</v>
      </c>
      <c r="B98" s="66"/>
      <c r="C98" s="67"/>
      <c r="D98" s="64" t="s">
        <v>57</v>
      </c>
      <c r="E98" s="75"/>
      <c r="F98" s="75">
        <v>6.51</v>
      </c>
      <c r="G98" s="123">
        <f>F98-E98</f>
        <v>6.51</v>
      </c>
      <c r="H98" s="183" t="e">
        <f>G98/E98*100</f>
        <v>#DIV/0!</v>
      </c>
      <c r="I98" s="183">
        <f>G98/F98*100</f>
        <v>100</v>
      </c>
    </row>
    <row r="99" spans="1:9" x14ac:dyDescent="0.25">
      <c r="A99" s="265">
        <v>32</v>
      </c>
      <c r="B99" s="266"/>
      <c r="C99" s="267"/>
      <c r="D99" s="26" t="s">
        <v>27</v>
      </c>
      <c r="E99" s="73">
        <f>SUM(E100+E105+E113+E123)</f>
        <v>2099.27</v>
      </c>
      <c r="F99" s="73">
        <f t="shared" ref="F99" si="41">SUM(F100+F105+F113+F123)</f>
        <v>1896</v>
      </c>
      <c r="G99" s="73">
        <f>SUM(G100+G105+G113+G123)</f>
        <v>2389.58</v>
      </c>
      <c r="H99" s="208">
        <f>G99/E99*100</f>
        <v>113.82909297041353</v>
      </c>
      <c r="I99" s="208">
        <f>G99/F99*100</f>
        <v>126.03270042194093</v>
      </c>
    </row>
    <row r="100" spans="1:9" x14ac:dyDescent="0.25">
      <c r="A100" s="22">
        <v>321</v>
      </c>
      <c r="B100" s="23"/>
      <c r="C100" s="24"/>
      <c r="D100" s="25" t="s">
        <v>42</v>
      </c>
      <c r="E100" s="74">
        <f t="shared" ref="E100:F100" si="42">SUM(E101:E104)</f>
        <v>0</v>
      </c>
      <c r="F100" s="74">
        <f t="shared" si="42"/>
        <v>558.5</v>
      </c>
      <c r="G100" s="74">
        <f t="shared" ref="G100" si="43">SUM(G101:G104)</f>
        <v>558.5</v>
      </c>
      <c r="H100" s="185" t="e">
        <f>G100/E100*100</f>
        <v>#DIV/0!</v>
      </c>
      <c r="I100" s="185">
        <f>G100/F100*100</f>
        <v>100</v>
      </c>
    </row>
    <row r="101" spans="1:9" x14ac:dyDescent="0.25">
      <c r="A101" s="19">
        <v>3211</v>
      </c>
      <c r="B101" s="20"/>
      <c r="C101" s="21"/>
      <c r="D101" s="18" t="s">
        <v>58</v>
      </c>
      <c r="E101" s="75"/>
      <c r="F101" s="75">
        <v>558.5</v>
      </c>
      <c r="G101" s="123">
        <v>558.5</v>
      </c>
      <c r="H101" s="183" t="e">
        <f>G101/E101*100</f>
        <v>#DIV/0!</v>
      </c>
      <c r="I101" s="183">
        <f>G101/F101*100</f>
        <v>100</v>
      </c>
    </row>
    <row r="102" spans="1:9" ht="25.5" x14ac:dyDescent="0.25">
      <c r="A102" s="19">
        <v>3212</v>
      </c>
      <c r="B102" s="20"/>
      <c r="C102" s="21"/>
      <c r="D102" s="18" t="s">
        <v>126</v>
      </c>
      <c r="E102" s="75"/>
      <c r="F102" s="75"/>
      <c r="G102" s="75"/>
      <c r="H102" s="109"/>
      <c r="I102" s="109"/>
    </row>
    <row r="103" spans="1:9" x14ac:dyDescent="0.25">
      <c r="A103" s="19">
        <v>3213</v>
      </c>
      <c r="B103" s="20"/>
      <c r="C103" s="21"/>
      <c r="D103" s="18" t="s">
        <v>60</v>
      </c>
      <c r="E103" s="75"/>
      <c r="F103" s="75"/>
      <c r="G103" s="75"/>
      <c r="H103" s="109"/>
      <c r="I103" s="109"/>
    </row>
    <row r="104" spans="1:9" ht="25.5" x14ac:dyDescent="0.25">
      <c r="A104" s="19">
        <v>3214</v>
      </c>
      <c r="B104" s="20"/>
      <c r="C104" s="21"/>
      <c r="D104" s="18" t="s">
        <v>61</v>
      </c>
      <c r="E104" s="75"/>
      <c r="F104" s="75"/>
      <c r="G104" s="75"/>
      <c r="H104" s="109"/>
      <c r="I104" s="109"/>
    </row>
    <row r="105" spans="1:9" x14ac:dyDescent="0.25">
      <c r="A105" s="22">
        <v>322</v>
      </c>
      <c r="B105" s="23"/>
      <c r="C105" s="24"/>
      <c r="D105" s="25" t="s">
        <v>43</v>
      </c>
      <c r="E105" s="74">
        <f t="shared" ref="E105:F105" si="44">SUM(E106:E112)</f>
        <v>932.33</v>
      </c>
      <c r="F105" s="74">
        <f t="shared" si="44"/>
        <v>555.11</v>
      </c>
      <c r="G105" s="74">
        <f t="shared" ref="G105" si="45">SUM(G106:G112)</f>
        <v>998.69</v>
      </c>
      <c r="H105" s="185">
        <f>G105/E105*100</f>
        <v>107.11765147533599</v>
      </c>
      <c r="I105" s="185">
        <f>G105/F105*100</f>
        <v>179.90848660625824</v>
      </c>
    </row>
    <row r="106" spans="1:9" ht="25.5" x14ac:dyDescent="0.25">
      <c r="A106" s="19">
        <v>3221</v>
      </c>
      <c r="B106" s="20"/>
      <c r="C106" s="21"/>
      <c r="D106" s="18" t="s">
        <v>62</v>
      </c>
      <c r="E106" s="75"/>
      <c r="F106" s="75">
        <v>555.11</v>
      </c>
      <c r="G106" s="123">
        <v>737.24</v>
      </c>
      <c r="H106" s="183" t="e">
        <f t="shared" ref="H106:H107" si="46">G106/E106*100</f>
        <v>#DIV/0!</v>
      </c>
      <c r="I106" s="183">
        <f t="shared" ref="I106:I107" si="47">G106/F106*100</f>
        <v>132.80971339013888</v>
      </c>
    </row>
    <row r="107" spans="1:9" x14ac:dyDescent="0.25">
      <c r="A107" s="19">
        <v>3222</v>
      </c>
      <c r="B107" s="20"/>
      <c r="C107" s="21"/>
      <c r="D107" s="18" t="s">
        <v>63</v>
      </c>
      <c r="E107" s="75"/>
      <c r="F107" s="75"/>
      <c r="G107" s="75">
        <v>261.45</v>
      </c>
      <c r="H107" s="183" t="e">
        <f t="shared" si="46"/>
        <v>#DIV/0!</v>
      </c>
      <c r="I107" s="183" t="e">
        <f t="shared" si="47"/>
        <v>#DIV/0!</v>
      </c>
    </row>
    <row r="108" spans="1:9" x14ac:dyDescent="0.25">
      <c r="A108" s="19">
        <v>3223</v>
      </c>
      <c r="B108" s="20"/>
      <c r="C108" s="21"/>
      <c r="D108" s="18" t="s">
        <v>64</v>
      </c>
      <c r="E108" s="75"/>
      <c r="F108" s="75"/>
      <c r="G108" s="75"/>
      <c r="H108" s="109"/>
      <c r="I108" s="109"/>
    </row>
    <row r="109" spans="1:9" ht="25.5" x14ac:dyDescent="0.25">
      <c r="A109" s="19">
        <v>3224</v>
      </c>
      <c r="B109" s="20"/>
      <c r="C109" s="21"/>
      <c r="D109" s="18" t="s">
        <v>65</v>
      </c>
      <c r="E109" s="75"/>
      <c r="F109" s="75"/>
      <c r="G109" s="75"/>
      <c r="H109" s="109"/>
      <c r="I109" s="109"/>
    </row>
    <row r="110" spans="1:9" x14ac:dyDescent="0.25">
      <c r="A110" s="19">
        <v>3225</v>
      </c>
      <c r="B110" s="20"/>
      <c r="C110" s="21"/>
      <c r="D110" s="18" t="s">
        <v>66</v>
      </c>
      <c r="E110" s="75">
        <v>932.33</v>
      </c>
      <c r="F110" s="75"/>
      <c r="G110" s="75"/>
      <c r="H110" s="109"/>
      <c r="I110" s="109"/>
    </row>
    <row r="111" spans="1:9" ht="25.5" x14ac:dyDescent="0.25">
      <c r="A111" s="19">
        <v>3226</v>
      </c>
      <c r="B111" s="20"/>
      <c r="C111" s="21"/>
      <c r="D111" s="18" t="s">
        <v>67</v>
      </c>
      <c r="E111" s="75"/>
      <c r="F111" s="75"/>
      <c r="G111" s="75"/>
      <c r="H111" s="109"/>
      <c r="I111" s="109"/>
    </row>
    <row r="112" spans="1:9" ht="25.5" x14ac:dyDescent="0.25">
      <c r="A112" s="19">
        <v>3227</v>
      </c>
      <c r="B112" s="20"/>
      <c r="C112" s="21"/>
      <c r="D112" s="18" t="s">
        <v>68</v>
      </c>
      <c r="E112" s="75"/>
      <c r="F112" s="75"/>
      <c r="G112" s="75"/>
      <c r="H112" s="109"/>
      <c r="I112" s="109"/>
    </row>
    <row r="113" spans="1:9" x14ac:dyDescent="0.25">
      <c r="A113" s="22">
        <v>323</v>
      </c>
      <c r="B113" s="23"/>
      <c r="C113" s="24"/>
      <c r="D113" s="25" t="s">
        <v>44</v>
      </c>
      <c r="E113" s="74">
        <f t="shared" ref="E113:F113" si="48">SUM(E114:E122)</f>
        <v>1166.94</v>
      </c>
      <c r="F113" s="74">
        <f t="shared" si="48"/>
        <v>782.39</v>
      </c>
      <c r="G113" s="74">
        <f t="shared" ref="G113" si="49">SUM(G114:G122)</f>
        <v>782.39</v>
      </c>
      <c r="H113" s="185">
        <f>G113/E113*100</f>
        <v>67.046292011585848</v>
      </c>
      <c r="I113" s="185">
        <f>G113/F113*100</f>
        <v>100</v>
      </c>
    </row>
    <row r="114" spans="1:9" x14ac:dyDescent="0.25">
      <c r="A114" s="19">
        <v>3231</v>
      </c>
      <c r="B114" s="20"/>
      <c r="C114" s="21"/>
      <c r="D114" s="18" t="s">
        <v>69</v>
      </c>
      <c r="E114" s="75"/>
      <c r="F114" s="75">
        <v>450</v>
      </c>
      <c r="G114" s="123">
        <v>450</v>
      </c>
      <c r="H114" s="183" t="e">
        <f>G114/E114*100</f>
        <v>#DIV/0!</v>
      </c>
      <c r="I114" s="183">
        <f>G114/F114*100</f>
        <v>100</v>
      </c>
    </row>
    <row r="115" spans="1:9" ht="25.5" x14ac:dyDescent="0.25">
      <c r="A115" s="19">
        <v>3232</v>
      </c>
      <c r="B115" s="20"/>
      <c r="C115" s="21"/>
      <c r="D115" s="18" t="s">
        <v>70</v>
      </c>
      <c r="E115" s="75"/>
      <c r="F115" s="75"/>
      <c r="G115" s="75"/>
      <c r="H115" s="109"/>
      <c r="I115" s="109"/>
    </row>
    <row r="116" spans="1:9" x14ac:dyDescent="0.25">
      <c r="A116" s="19">
        <v>3233</v>
      </c>
      <c r="B116" s="20"/>
      <c r="C116" s="21"/>
      <c r="D116" s="18" t="s">
        <v>71</v>
      </c>
      <c r="E116" s="75"/>
      <c r="F116" s="75"/>
      <c r="G116" s="75"/>
      <c r="H116" s="109"/>
      <c r="I116" s="109"/>
    </row>
    <row r="117" spans="1:9" x14ac:dyDescent="0.25">
      <c r="A117" s="19">
        <v>3234</v>
      </c>
      <c r="B117" s="20"/>
      <c r="C117" s="21"/>
      <c r="D117" s="18" t="s">
        <v>72</v>
      </c>
      <c r="E117" s="75"/>
      <c r="F117" s="75">
        <v>40</v>
      </c>
      <c r="G117" s="123">
        <f>F117-E117</f>
        <v>40</v>
      </c>
      <c r="H117" s="183" t="e">
        <f>G117/E117*100</f>
        <v>#DIV/0!</v>
      </c>
      <c r="I117" s="183">
        <f>G117/F117*100</f>
        <v>100</v>
      </c>
    </row>
    <row r="118" spans="1:9" x14ac:dyDescent="0.25">
      <c r="A118" s="19">
        <v>3235</v>
      </c>
      <c r="B118" s="20"/>
      <c r="C118" s="21"/>
      <c r="D118" s="18" t="s">
        <v>73</v>
      </c>
      <c r="E118" s="75"/>
      <c r="F118" s="75"/>
      <c r="G118" s="75"/>
      <c r="H118" s="109"/>
      <c r="I118" s="109"/>
    </row>
    <row r="119" spans="1:9" x14ac:dyDescent="0.25">
      <c r="A119" s="19">
        <v>3236</v>
      </c>
      <c r="B119" s="20"/>
      <c r="C119" s="21"/>
      <c r="D119" s="18" t="s">
        <v>74</v>
      </c>
      <c r="E119" s="75"/>
      <c r="F119" s="75"/>
      <c r="G119" s="123"/>
      <c r="H119" s="183" t="e">
        <f>G119/E119*100</f>
        <v>#DIV/0!</v>
      </c>
      <c r="I119" s="183" t="e">
        <f>G119/F119*100</f>
        <v>#DIV/0!</v>
      </c>
    </row>
    <row r="120" spans="1:9" x14ac:dyDescent="0.25">
      <c r="A120" s="19">
        <v>3237</v>
      </c>
      <c r="B120" s="20"/>
      <c r="C120" s="21"/>
      <c r="D120" s="18" t="s">
        <v>75</v>
      </c>
      <c r="E120" s="75"/>
      <c r="F120" s="75"/>
      <c r="G120" s="75"/>
      <c r="H120" s="109"/>
      <c r="I120" s="109"/>
    </row>
    <row r="121" spans="1:9" x14ac:dyDescent="0.25">
      <c r="A121" s="19">
        <v>3238</v>
      </c>
      <c r="B121" s="20"/>
      <c r="C121" s="21"/>
      <c r="D121" s="18" t="s">
        <v>76</v>
      </c>
      <c r="E121" s="75"/>
      <c r="F121" s="75"/>
      <c r="G121" s="75"/>
      <c r="H121" s="109"/>
      <c r="I121" s="109"/>
    </row>
    <row r="122" spans="1:9" x14ac:dyDescent="0.25">
      <c r="A122" s="19">
        <v>3239</v>
      </c>
      <c r="B122" s="20"/>
      <c r="C122" s="21"/>
      <c r="D122" s="18" t="s">
        <v>77</v>
      </c>
      <c r="E122" s="75">
        <v>1166.94</v>
      </c>
      <c r="F122" s="75">
        <v>292.39</v>
      </c>
      <c r="G122" s="123">
        <v>292.39</v>
      </c>
      <c r="H122" s="183">
        <f>G122/E122*100</f>
        <v>25.056129706754415</v>
      </c>
      <c r="I122" s="183">
        <f>G122/F122*100</f>
        <v>100</v>
      </c>
    </row>
    <row r="123" spans="1:9" ht="25.5" x14ac:dyDescent="0.25">
      <c r="A123" s="22">
        <v>329</v>
      </c>
      <c r="B123" s="23"/>
      <c r="C123" s="24"/>
      <c r="D123" s="25" t="s">
        <v>79</v>
      </c>
      <c r="E123" s="74">
        <f t="shared" ref="E123:F123" si="50">SUM(E124:E130)</f>
        <v>0</v>
      </c>
      <c r="F123" s="74">
        <f t="shared" si="50"/>
        <v>0</v>
      </c>
      <c r="G123" s="74">
        <f t="shared" ref="G123" si="51">SUM(G124:G130)</f>
        <v>50</v>
      </c>
      <c r="H123" s="185" t="e">
        <f>G123/E123*100</f>
        <v>#DIV/0!</v>
      </c>
      <c r="I123" s="185" t="e">
        <f>G123/F123*100</f>
        <v>#DIV/0!</v>
      </c>
    </row>
    <row r="124" spans="1:9" ht="38.25" x14ac:dyDescent="0.25">
      <c r="A124" s="65">
        <v>3291</v>
      </c>
      <c r="B124" s="66"/>
      <c r="C124" s="67"/>
      <c r="D124" s="64" t="s">
        <v>80</v>
      </c>
      <c r="E124" s="75"/>
      <c r="F124" s="75"/>
      <c r="G124" s="75"/>
      <c r="H124" s="109"/>
      <c r="I124" s="109"/>
    </row>
    <row r="125" spans="1:9" x14ac:dyDescent="0.25">
      <c r="A125" s="65">
        <v>3292</v>
      </c>
      <c r="B125" s="66"/>
      <c r="C125" s="67"/>
      <c r="D125" s="64" t="s">
        <v>81</v>
      </c>
      <c r="E125" s="75"/>
      <c r="F125" s="75"/>
      <c r="G125" s="75"/>
      <c r="H125" s="109"/>
      <c r="I125" s="109"/>
    </row>
    <row r="126" spans="1:9" x14ac:dyDescent="0.25">
      <c r="A126" s="65">
        <v>3293</v>
      </c>
      <c r="B126" s="66"/>
      <c r="C126" s="67"/>
      <c r="D126" s="64" t="s">
        <v>82</v>
      </c>
      <c r="E126" s="75"/>
      <c r="F126" s="75"/>
      <c r="G126" s="75"/>
      <c r="H126" s="109"/>
      <c r="I126" s="109"/>
    </row>
    <row r="127" spans="1:9" x14ac:dyDescent="0.25">
      <c r="A127" s="65">
        <v>3294</v>
      </c>
      <c r="B127" s="66"/>
      <c r="C127" s="67"/>
      <c r="D127" s="64" t="s">
        <v>83</v>
      </c>
      <c r="E127" s="75"/>
      <c r="F127" s="75"/>
      <c r="G127" s="75"/>
      <c r="H127" s="109"/>
      <c r="I127" s="109"/>
    </row>
    <row r="128" spans="1:9" x14ac:dyDescent="0.25">
      <c r="A128" s="65">
        <v>3295</v>
      </c>
      <c r="B128" s="66"/>
      <c r="C128" s="67"/>
      <c r="D128" s="64" t="s">
        <v>84</v>
      </c>
      <c r="E128" s="75"/>
      <c r="F128" s="75"/>
      <c r="G128" s="75"/>
      <c r="H128" s="109"/>
      <c r="I128" s="109"/>
    </row>
    <row r="129" spans="1:9" x14ac:dyDescent="0.25">
      <c r="A129" s="65">
        <v>3296</v>
      </c>
      <c r="B129" s="66"/>
      <c r="C129" s="67"/>
      <c r="D129" s="64" t="s">
        <v>85</v>
      </c>
      <c r="E129" s="75"/>
      <c r="F129" s="75"/>
      <c r="G129" s="75"/>
      <c r="H129" s="109"/>
      <c r="I129" s="109"/>
    </row>
    <row r="130" spans="1:9" ht="25.5" x14ac:dyDescent="0.25">
      <c r="A130" s="65">
        <v>3299</v>
      </c>
      <c r="B130" s="66"/>
      <c r="C130" s="67"/>
      <c r="D130" s="64" t="s">
        <v>45</v>
      </c>
      <c r="E130" s="75"/>
      <c r="F130" s="75"/>
      <c r="G130" s="75">
        <v>50</v>
      </c>
      <c r="H130" s="183" t="e">
        <f>G130/E130*100</f>
        <v>#DIV/0!</v>
      </c>
      <c r="I130" s="183" t="e">
        <f>G130/F130*100</f>
        <v>#DIV/0!</v>
      </c>
    </row>
    <row r="131" spans="1:9" ht="38.25" x14ac:dyDescent="0.25">
      <c r="A131" s="204">
        <v>4</v>
      </c>
      <c r="B131" s="205"/>
      <c r="C131" s="206"/>
      <c r="D131" s="215" t="s">
        <v>38</v>
      </c>
      <c r="E131" s="202">
        <f t="shared" ref="E131:G131" si="52">SUM(E132)</f>
        <v>968</v>
      </c>
      <c r="F131" s="202">
        <f t="shared" si="52"/>
        <v>0</v>
      </c>
      <c r="G131" s="202">
        <f t="shared" si="52"/>
        <v>0</v>
      </c>
      <c r="H131" s="207">
        <f>G131/E131*100</f>
        <v>0</v>
      </c>
      <c r="I131" s="207" t="e">
        <f>G131/F131*100</f>
        <v>#DIV/0!</v>
      </c>
    </row>
    <row r="132" spans="1:9" ht="38.25" x14ac:dyDescent="0.25">
      <c r="A132" s="210">
        <v>42</v>
      </c>
      <c r="B132" s="211"/>
      <c r="C132" s="212"/>
      <c r="D132" s="26" t="s">
        <v>38</v>
      </c>
      <c r="E132" s="73">
        <f t="shared" ref="E132:F132" si="53">SUM(E133+E140)</f>
        <v>968</v>
      </c>
      <c r="F132" s="73">
        <f t="shared" si="53"/>
        <v>0</v>
      </c>
      <c r="G132" s="73">
        <f t="shared" ref="G132" si="54">SUM(G133+G140)</f>
        <v>0</v>
      </c>
      <c r="H132" s="208">
        <f>G132/E132*100</f>
        <v>0</v>
      </c>
      <c r="I132" s="208" t="e">
        <f>G132/F132*100</f>
        <v>#DIV/0!</v>
      </c>
    </row>
    <row r="133" spans="1:9" x14ac:dyDescent="0.25">
      <c r="A133" s="22">
        <v>422</v>
      </c>
      <c r="B133" s="23"/>
      <c r="C133" s="24"/>
      <c r="D133" s="25" t="s">
        <v>50</v>
      </c>
      <c r="E133" s="74">
        <f t="shared" ref="E133:F133" si="55">SUM(E134:E139)</f>
        <v>968</v>
      </c>
      <c r="F133" s="74">
        <f t="shared" si="55"/>
        <v>0</v>
      </c>
      <c r="G133" s="74">
        <f t="shared" ref="G133" si="56">SUM(G134:G139)</f>
        <v>0</v>
      </c>
      <c r="H133" s="185">
        <f>G133/E133*100</f>
        <v>0</v>
      </c>
      <c r="I133" s="185" t="e">
        <f>G133/F133*100</f>
        <v>#DIV/0!</v>
      </c>
    </row>
    <row r="134" spans="1:9" x14ac:dyDescent="0.25">
      <c r="A134" s="65">
        <v>4221</v>
      </c>
      <c r="B134" s="66"/>
      <c r="C134" s="67"/>
      <c r="D134" s="64" t="s">
        <v>90</v>
      </c>
      <c r="E134" s="75"/>
      <c r="F134" s="75"/>
      <c r="G134" s="75"/>
      <c r="H134" s="109"/>
      <c r="I134" s="109"/>
    </row>
    <row r="135" spans="1:9" x14ac:dyDescent="0.25">
      <c r="A135" s="65">
        <v>4222</v>
      </c>
      <c r="B135" s="66"/>
      <c r="C135" s="67"/>
      <c r="D135" s="64" t="s">
        <v>91</v>
      </c>
      <c r="E135" s="75"/>
      <c r="F135" s="75"/>
      <c r="G135" s="75"/>
      <c r="H135" s="109"/>
      <c r="I135" s="109"/>
    </row>
    <row r="136" spans="1:9" x14ac:dyDescent="0.25">
      <c r="A136" s="65">
        <v>4223</v>
      </c>
      <c r="B136" s="66"/>
      <c r="C136" s="67"/>
      <c r="D136" s="64" t="s">
        <v>92</v>
      </c>
      <c r="E136" s="75"/>
      <c r="F136" s="75"/>
      <c r="G136" s="75"/>
      <c r="H136" s="109"/>
      <c r="I136" s="109"/>
    </row>
    <row r="137" spans="1:9" x14ac:dyDescent="0.25">
      <c r="A137" s="65">
        <v>4225</v>
      </c>
      <c r="B137" s="66"/>
      <c r="C137" s="67"/>
      <c r="D137" s="64" t="s">
        <v>93</v>
      </c>
      <c r="E137" s="75"/>
      <c r="F137" s="75"/>
      <c r="G137" s="75"/>
      <c r="H137" s="109"/>
      <c r="I137" s="109"/>
    </row>
    <row r="138" spans="1:9" x14ac:dyDescent="0.25">
      <c r="A138" s="65">
        <v>4226</v>
      </c>
      <c r="B138" s="66"/>
      <c r="C138" s="67"/>
      <c r="D138" s="64" t="s">
        <v>94</v>
      </c>
      <c r="E138" s="75"/>
      <c r="F138" s="75"/>
      <c r="G138" s="75"/>
      <c r="H138" s="109"/>
      <c r="I138" s="109"/>
    </row>
    <row r="139" spans="1:9" ht="25.5" x14ac:dyDescent="0.25">
      <c r="A139" s="65">
        <v>4227</v>
      </c>
      <c r="B139" s="66"/>
      <c r="C139" s="67"/>
      <c r="D139" s="64" t="s">
        <v>95</v>
      </c>
      <c r="E139" s="75">
        <v>968</v>
      </c>
      <c r="F139" s="75"/>
      <c r="G139" s="75"/>
      <c r="H139" s="109"/>
      <c r="I139" s="109"/>
    </row>
    <row r="140" spans="1:9" ht="25.5" x14ac:dyDescent="0.25">
      <c r="A140" s="22">
        <v>424</v>
      </c>
      <c r="B140" s="23"/>
      <c r="C140" s="24"/>
      <c r="D140" s="25" t="s">
        <v>51</v>
      </c>
      <c r="E140" s="74">
        <f t="shared" ref="E140:G140" si="57">SUM(E141)</f>
        <v>0</v>
      </c>
      <c r="F140" s="74">
        <f t="shared" si="57"/>
        <v>0</v>
      </c>
      <c r="G140" s="74">
        <f t="shared" si="57"/>
        <v>0</v>
      </c>
      <c r="H140" s="185" t="e">
        <f>G140/E140*100</f>
        <v>#DIV/0!</v>
      </c>
      <c r="I140" s="185" t="e">
        <f>G140/F140*100</f>
        <v>#DIV/0!</v>
      </c>
    </row>
    <row r="141" spans="1:9" x14ac:dyDescent="0.25">
      <c r="A141" s="65">
        <v>4241</v>
      </c>
      <c r="B141" s="66"/>
      <c r="C141" s="67"/>
      <c r="D141" s="64" t="s">
        <v>96</v>
      </c>
      <c r="E141" s="75"/>
      <c r="F141" s="75"/>
      <c r="G141" s="123"/>
      <c r="H141" s="183" t="e">
        <f>G141/E141*100</f>
        <v>#DIV/0!</v>
      </c>
      <c r="I141" s="183" t="e">
        <f>G141/F141*100</f>
        <v>#DIV/0!</v>
      </c>
    </row>
    <row r="142" spans="1:9" x14ac:dyDescent="0.25">
      <c r="A142" s="19"/>
      <c r="B142" s="20"/>
      <c r="C142" s="21"/>
      <c r="D142" s="111" t="s">
        <v>97</v>
      </c>
      <c r="E142" s="112">
        <f>E89+E131</f>
        <v>3067.27</v>
      </c>
      <c r="F142" s="112">
        <f>F89</f>
        <v>1941.98</v>
      </c>
      <c r="G142" s="112">
        <f>G89</f>
        <v>2435.56</v>
      </c>
      <c r="H142" s="184">
        <f>G142/E142*100</f>
        <v>79.404812748796161</v>
      </c>
      <c r="I142" s="184">
        <f>G142/F142*100</f>
        <v>125.41632766557842</v>
      </c>
    </row>
    <row r="143" spans="1:9" ht="15" customHeight="1" x14ac:dyDescent="0.25">
      <c r="A143" s="28"/>
      <c r="B143" s="29"/>
      <c r="C143" s="30"/>
      <c r="D143" s="27"/>
      <c r="E143" s="3"/>
      <c r="F143" s="3"/>
      <c r="G143" s="3"/>
    </row>
    <row r="144" spans="1:9" ht="51" x14ac:dyDescent="0.25">
      <c r="A144" s="271" t="s">
        <v>25</v>
      </c>
      <c r="B144" s="272"/>
      <c r="C144" s="273"/>
      <c r="D144" s="13" t="s">
        <v>26</v>
      </c>
      <c r="E144" s="14" t="s">
        <v>188</v>
      </c>
      <c r="F144" s="14" t="s">
        <v>172</v>
      </c>
      <c r="G144" s="14" t="s">
        <v>189</v>
      </c>
      <c r="H144" s="14" t="s">
        <v>173</v>
      </c>
      <c r="I144" s="14" t="s">
        <v>173</v>
      </c>
    </row>
    <row r="145" spans="1:9" ht="15" customHeight="1" x14ac:dyDescent="0.25">
      <c r="A145" s="175"/>
      <c r="B145" s="173"/>
      <c r="C145" s="174"/>
      <c r="D145" s="167">
        <v>1</v>
      </c>
      <c r="E145" s="170">
        <v>2</v>
      </c>
      <c r="F145" s="171">
        <v>3</v>
      </c>
      <c r="G145" s="171">
        <v>4</v>
      </c>
      <c r="H145" s="170" t="s">
        <v>174</v>
      </c>
      <c r="I145" s="172" t="s">
        <v>175</v>
      </c>
    </row>
    <row r="146" spans="1:9" ht="15" customHeight="1" x14ac:dyDescent="0.25">
      <c r="A146" s="268" t="s">
        <v>127</v>
      </c>
      <c r="B146" s="269"/>
      <c r="C146" s="270"/>
      <c r="D146" s="68" t="s">
        <v>132</v>
      </c>
      <c r="E146" s="3"/>
      <c r="F146" s="3"/>
      <c r="G146" s="3"/>
      <c r="H146" s="109"/>
      <c r="I146" s="109"/>
    </row>
    <row r="147" spans="1:9" ht="25.5" x14ac:dyDescent="0.25">
      <c r="A147" s="259">
        <v>43</v>
      </c>
      <c r="B147" s="260"/>
      <c r="C147" s="261"/>
      <c r="D147" s="69" t="s">
        <v>37</v>
      </c>
      <c r="E147" s="3"/>
      <c r="F147" s="3"/>
      <c r="G147" s="3"/>
      <c r="H147" s="109"/>
      <c r="I147" s="109"/>
    </row>
    <row r="148" spans="1:9" ht="15" customHeight="1" x14ac:dyDescent="0.25">
      <c r="A148" s="262">
        <v>3</v>
      </c>
      <c r="B148" s="263"/>
      <c r="C148" s="264"/>
      <c r="D148" s="200" t="s">
        <v>15</v>
      </c>
      <c r="E148" s="202">
        <f>SUM(E149+E158+E192+E196)</f>
        <v>10472.17</v>
      </c>
      <c r="F148" s="202">
        <f>SUM(F149+F158+F192+F196)</f>
        <v>5796.66</v>
      </c>
      <c r="G148" s="202">
        <f>SUM(G149+G158+G192+G196)</f>
        <v>5916.66</v>
      </c>
      <c r="H148" s="207">
        <f>G148/E148*100</f>
        <v>56.498891824712551</v>
      </c>
      <c r="I148" s="207">
        <f>G148/F148*100</f>
        <v>102.07015764250447</v>
      </c>
    </row>
    <row r="149" spans="1:9" x14ac:dyDescent="0.25">
      <c r="A149" s="265">
        <v>31</v>
      </c>
      <c r="B149" s="266"/>
      <c r="C149" s="267"/>
      <c r="D149" s="26" t="s">
        <v>16</v>
      </c>
      <c r="E149" s="73">
        <f t="shared" ref="E149:F149" si="58">SUM(E150+E154+E156)</f>
        <v>20</v>
      </c>
      <c r="F149" s="73">
        <f t="shared" si="58"/>
        <v>0</v>
      </c>
      <c r="G149" s="73">
        <f t="shared" ref="G149" si="59">SUM(G150+G154+G156)</f>
        <v>0</v>
      </c>
      <c r="H149" s="208">
        <f>G149/E149*100</f>
        <v>0</v>
      </c>
      <c r="I149" s="208" t="e">
        <f>G149/F149*100</f>
        <v>#DIV/0!</v>
      </c>
    </row>
    <row r="150" spans="1:9" x14ac:dyDescent="0.25">
      <c r="A150" s="22">
        <v>311</v>
      </c>
      <c r="B150" s="23"/>
      <c r="C150" s="24"/>
      <c r="D150" s="25" t="s">
        <v>40</v>
      </c>
      <c r="E150" s="74">
        <f t="shared" ref="E150:F150" si="60">SUM(E151:E153)</f>
        <v>17.170000000000002</v>
      </c>
      <c r="F150" s="74">
        <f t="shared" si="60"/>
        <v>0</v>
      </c>
      <c r="G150" s="74">
        <f t="shared" ref="G150" si="61">SUM(G151:G153)</f>
        <v>0</v>
      </c>
      <c r="H150" s="185">
        <f>G150/E150*100</f>
        <v>0</v>
      </c>
      <c r="I150" s="185" t="e">
        <f>G150/F150*100</f>
        <v>#DIV/0!</v>
      </c>
    </row>
    <row r="151" spans="1:9" x14ac:dyDescent="0.25">
      <c r="A151" s="28">
        <v>3111</v>
      </c>
      <c r="B151" s="29"/>
      <c r="C151" s="30"/>
      <c r="D151" s="27" t="s">
        <v>52</v>
      </c>
      <c r="E151" s="75">
        <v>17.170000000000002</v>
      </c>
      <c r="F151" s="75">
        <v>0</v>
      </c>
      <c r="G151" s="75"/>
      <c r="H151" s="183">
        <f>G151/E151*100</f>
        <v>0</v>
      </c>
      <c r="I151" s="183" t="e">
        <f>G151/F151*100</f>
        <v>#DIV/0!</v>
      </c>
    </row>
    <row r="152" spans="1:9" x14ac:dyDescent="0.25">
      <c r="A152" s="28">
        <v>3113</v>
      </c>
      <c r="B152" s="29"/>
      <c r="C152" s="30"/>
      <c r="D152" s="27" t="s">
        <v>53</v>
      </c>
      <c r="E152" s="75"/>
      <c r="F152" s="75"/>
      <c r="G152" s="75"/>
      <c r="H152" s="109"/>
      <c r="I152" s="109"/>
    </row>
    <row r="153" spans="1:9" x14ac:dyDescent="0.25">
      <c r="A153" s="28">
        <v>3114</v>
      </c>
      <c r="B153" s="29"/>
      <c r="C153" s="30"/>
      <c r="D153" s="27" t="s">
        <v>54</v>
      </c>
      <c r="E153" s="75"/>
      <c r="F153" s="75"/>
      <c r="G153" s="75"/>
      <c r="H153" s="109"/>
      <c r="I153" s="109"/>
    </row>
    <row r="154" spans="1:9" x14ac:dyDescent="0.25">
      <c r="A154" s="22">
        <v>312</v>
      </c>
      <c r="B154" s="23"/>
      <c r="C154" s="24"/>
      <c r="D154" s="25" t="s">
        <v>55</v>
      </c>
      <c r="E154" s="74">
        <f t="shared" ref="E154:G154" si="62">SUM(E155)</f>
        <v>0</v>
      </c>
      <c r="F154" s="74">
        <f t="shared" si="62"/>
        <v>0</v>
      </c>
      <c r="G154" s="74">
        <f t="shared" si="62"/>
        <v>0</v>
      </c>
      <c r="H154" s="199"/>
      <c r="I154" s="199"/>
    </row>
    <row r="155" spans="1:9" x14ac:dyDescent="0.25">
      <c r="A155" s="28">
        <v>3121</v>
      </c>
      <c r="B155" s="29"/>
      <c r="C155" s="30"/>
      <c r="D155" s="27" t="s">
        <v>56</v>
      </c>
      <c r="E155" s="75"/>
      <c r="F155" s="75"/>
      <c r="G155" s="75"/>
      <c r="H155" s="109"/>
      <c r="I155" s="109"/>
    </row>
    <row r="156" spans="1:9" x14ac:dyDescent="0.25">
      <c r="A156" s="22">
        <v>313</v>
      </c>
      <c r="B156" s="23"/>
      <c r="C156" s="24"/>
      <c r="D156" s="25" t="s">
        <v>41</v>
      </c>
      <c r="E156" s="74">
        <f>SUM(E157:E157)</f>
        <v>2.83</v>
      </c>
      <c r="F156" s="74">
        <f>SUM(F157:F157)</f>
        <v>0</v>
      </c>
      <c r="G156" s="74">
        <f>SUM(G157:G157)</f>
        <v>0</v>
      </c>
      <c r="H156" s="199"/>
      <c r="I156" s="199"/>
    </row>
    <row r="157" spans="1:9" ht="25.5" x14ac:dyDescent="0.25">
      <c r="A157" s="28">
        <v>3132</v>
      </c>
      <c r="B157" s="29"/>
      <c r="C157" s="30"/>
      <c r="D157" s="27" t="s">
        <v>57</v>
      </c>
      <c r="E157" s="75">
        <v>2.83</v>
      </c>
      <c r="F157" s="75"/>
      <c r="G157" s="75"/>
      <c r="H157" s="109"/>
      <c r="I157" s="109"/>
    </row>
    <row r="158" spans="1:9" x14ac:dyDescent="0.25">
      <c r="A158" s="265">
        <v>32</v>
      </c>
      <c r="B158" s="266"/>
      <c r="C158" s="267"/>
      <c r="D158" s="26" t="s">
        <v>27</v>
      </c>
      <c r="E158" s="73">
        <f t="shared" ref="E158:F158" si="63">SUM(E159+E164+E172+E182+E184)</f>
        <v>10452.17</v>
      </c>
      <c r="F158" s="73">
        <f t="shared" si="63"/>
        <v>5796.66</v>
      </c>
      <c r="G158" s="73">
        <f t="shared" ref="G158" si="64">SUM(G159+G164+G172+G182+G184)</f>
        <v>5916.66</v>
      </c>
      <c r="H158" s="208">
        <f>G158/E158*100</f>
        <v>56.60700122558282</v>
      </c>
      <c r="I158" s="208">
        <f>G158/F158*100</f>
        <v>102.07015764250447</v>
      </c>
    </row>
    <row r="159" spans="1:9" x14ac:dyDescent="0.25">
      <c r="A159" s="22">
        <v>321</v>
      </c>
      <c r="B159" s="23"/>
      <c r="C159" s="24"/>
      <c r="D159" s="25" t="s">
        <v>42</v>
      </c>
      <c r="E159" s="74">
        <f t="shared" ref="E159:F159" si="65">SUM(E160:E163)</f>
        <v>849.6</v>
      </c>
      <c r="F159" s="74">
        <f t="shared" si="65"/>
        <v>480</v>
      </c>
      <c r="G159" s="74">
        <f t="shared" ref="G159" si="66">SUM(G160:G163)</f>
        <v>480</v>
      </c>
      <c r="H159" s="185">
        <f>G159/E159*100</f>
        <v>56.497175141242941</v>
      </c>
      <c r="I159" s="185">
        <f>G159/F159*100</f>
        <v>100</v>
      </c>
    </row>
    <row r="160" spans="1:9" x14ac:dyDescent="0.25">
      <c r="A160" s="28">
        <v>3211</v>
      </c>
      <c r="B160" s="29"/>
      <c r="C160" s="30"/>
      <c r="D160" s="27" t="s">
        <v>58</v>
      </c>
      <c r="E160" s="75">
        <v>849.6</v>
      </c>
      <c r="F160" s="75">
        <v>480</v>
      </c>
      <c r="G160" s="123">
        <v>480</v>
      </c>
      <c r="H160" s="183">
        <f>G160/E160*100</f>
        <v>56.497175141242941</v>
      </c>
      <c r="I160" s="183">
        <f>G160/F160*100</f>
        <v>100</v>
      </c>
    </row>
    <row r="161" spans="1:9" ht="25.5" x14ac:dyDescent="0.25">
      <c r="A161" s="28">
        <v>3212</v>
      </c>
      <c r="B161" s="29"/>
      <c r="C161" s="30"/>
      <c r="D161" s="27" t="s">
        <v>59</v>
      </c>
      <c r="E161" s="75"/>
      <c r="F161" s="75"/>
      <c r="G161" s="75"/>
      <c r="H161" s="109"/>
      <c r="I161" s="109"/>
    </row>
    <row r="162" spans="1:9" x14ac:dyDescent="0.25">
      <c r="A162" s="28">
        <v>3213</v>
      </c>
      <c r="B162" s="29"/>
      <c r="C162" s="30"/>
      <c r="D162" s="27" t="s">
        <v>60</v>
      </c>
      <c r="E162" s="75"/>
      <c r="F162" s="75"/>
      <c r="G162" s="75"/>
      <c r="H162" s="109"/>
      <c r="I162" s="109"/>
    </row>
    <row r="163" spans="1:9" ht="25.5" x14ac:dyDescent="0.25">
      <c r="A163" s="28">
        <v>3214</v>
      </c>
      <c r="B163" s="29"/>
      <c r="C163" s="30"/>
      <c r="D163" s="27" t="s">
        <v>61</v>
      </c>
      <c r="E163" s="75"/>
      <c r="F163" s="75"/>
      <c r="G163" s="75"/>
      <c r="H163" s="109"/>
      <c r="I163" s="109"/>
    </row>
    <row r="164" spans="1:9" x14ac:dyDescent="0.25">
      <c r="A164" s="22">
        <v>322</v>
      </c>
      <c r="B164" s="23"/>
      <c r="C164" s="24"/>
      <c r="D164" s="25" t="s">
        <v>43</v>
      </c>
      <c r="E164" s="74">
        <f t="shared" ref="E164:F164" si="67">SUM(E165:E171)</f>
        <v>47.7</v>
      </c>
      <c r="F164" s="74">
        <f t="shared" si="67"/>
        <v>2180.86</v>
      </c>
      <c r="G164" s="74">
        <f t="shared" ref="G164" si="68">SUM(G165:G171)</f>
        <v>2300.8599999999997</v>
      </c>
      <c r="H164" s="185">
        <f>G164/E164*100</f>
        <v>4823.6058700209633</v>
      </c>
      <c r="I164" s="185">
        <f>G164/F164*100</f>
        <v>105.5024164779032</v>
      </c>
    </row>
    <row r="165" spans="1:9" ht="25.5" x14ac:dyDescent="0.25">
      <c r="A165" s="28">
        <v>3221</v>
      </c>
      <c r="B165" s="29"/>
      <c r="C165" s="30"/>
      <c r="D165" s="27" t="s">
        <v>62</v>
      </c>
      <c r="E165" s="75">
        <v>47.7</v>
      </c>
      <c r="F165" s="75">
        <v>938.36</v>
      </c>
      <c r="G165" s="123">
        <v>1058.3599999999999</v>
      </c>
      <c r="H165" s="183">
        <f>G165/E165*100</f>
        <v>2218.7840670859537</v>
      </c>
      <c r="I165" s="183">
        <f>G165/F165*100</f>
        <v>112.78826889466728</v>
      </c>
    </row>
    <row r="166" spans="1:9" x14ac:dyDescent="0.25">
      <c r="A166" s="28">
        <v>3222</v>
      </c>
      <c r="B166" s="29"/>
      <c r="C166" s="30"/>
      <c r="D166" s="27" t="s">
        <v>63</v>
      </c>
      <c r="E166" s="75"/>
      <c r="F166" s="75"/>
      <c r="G166" s="75"/>
      <c r="H166" s="109"/>
      <c r="I166" s="109"/>
    </row>
    <row r="167" spans="1:9" x14ac:dyDescent="0.25">
      <c r="A167" s="28">
        <v>3223</v>
      </c>
      <c r="B167" s="29"/>
      <c r="C167" s="30"/>
      <c r="D167" s="27" t="s">
        <v>64</v>
      </c>
      <c r="E167" s="75"/>
      <c r="F167" s="75"/>
      <c r="G167" s="75"/>
      <c r="H167" s="109"/>
      <c r="I167" s="109"/>
    </row>
    <row r="168" spans="1:9" ht="25.5" x14ac:dyDescent="0.25">
      <c r="A168" s="28">
        <v>3224</v>
      </c>
      <c r="B168" s="29"/>
      <c r="C168" s="30"/>
      <c r="D168" s="27" t="s">
        <v>65</v>
      </c>
      <c r="E168" s="75"/>
      <c r="F168" s="75"/>
      <c r="G168" s="75"/>
      <c r="H168" s="109"/>
      <c r="I168" s="109"/>
    </row>
    <row r="169" spans="1:9" x14ac:dyDescent="0.25">
      <c r="A169" s="28">
        <v>3225</v>
      </c>
      <c r="B169" s="29"/>
      <c r="C169" s="30"/>
      <c r="D169" s="27" t="s">
        <v>66</v>
      </c>
      <c r="E169" s="75"/>
      <c r="F169" s="75">
        <f>742.5+500</f>
        <v>1242.5</v>
      </c>
      <c r="G169" s="123">
        <f>F169-E169</f>
        <v>1242.5</v>
      </c>
      <c r="H169" s="183" t="e">
        <f>G169/E169*100</f>
        <v>#DIV/0!</v>
      </c>
      <c r="I169" s="183">
        <f>G169/F169*100</f>
        <v>100</v>
      </c>
    </row>
    <row r="170" spans="1:9" ht="25.5" x14ac:dyDescent="0.25">
      <c r="A170" s="28">
        <v>3226</v>
      </c>
      <c r="B170" s="29"/>
      <c r="C170" s="30"/>
      <c r="D170" s="27" t="s">
        <v>67</v>
      </c>
      <c r="E170" s="75"/>
      <c r="F170" s="75"/>
      <c r="G170" s="75"/>
      <c r="H170" s="109"/>
      <c r="I170" s="109"/>
    </row>
    <row r="171" spans="1:9" ht="25.5" x14ac:dyDescent="0.25">
      <c r="A171" s="28">
        <v>3227</v>
      </c>
      <c r="B171" s="29"/>
      <c r="C171" s="30"/>
      <c r="D171" s="27" t="s">
        <v>68</v>
      </c>
      <c r="E171" s="75"/>
      <c r="F171" s="75"/>
      <c r="G171" s="75"/>
      <c r="H171" s="109"/>
      <c r="I171" s="109"/>
    </row>
    <row r="172" spans="1:9" x14ac:dyDescent="0.25">
      <c r="A172" s="22">
        <v>323</v>
      </c>
      <c r="B172" s="23"/>
      <c r="C172" s="24"/>
      <c r="D172" s="25" t="s">
        <v>44</v>
      </c>
      <c r="E172" s="74">
        <f t="shared" ref="E172:F172" si="69">SUM(E173:E181)</f>
        <v>1929.13</v>
      </c>
      <c r="F172" s="74">
        <f t="shared" si="69"/>
        <v>1360</v>
      </c>
      <c r="G172" s="74">
        <f t="shared" ref="G172" si="70">SUM(G173:G181)</f>
        <v>1360</v>
      </c>
      <c r="H172" s="185">
        <f>G172/E172*100</f>
        <v>70.49810017987383</v>
      </c>
      <c r="I172" s="185">
        <f>G172/F172*100</f>
        <v>100</v>
      </c>
    </row>
    <row r="173" spans="1:9" x14ac:dyDescent="0.25">
      <c r="A173" s="28">
        <v>3231</v>
      </c>
      <c r="B173" s="29"/>
      <c r="C173" s="30"/>
      <c r="D173" s="27" t="s">
        <v>69</v>
      </c>
      <c r="E173" s="75">
        <v>1750</v>
      </c>
      <c r="F173" s="75">
        <v>1360</v>
      </c>
      <c r="G173" s="123">
        <v>1360</v>
      </c>
      <c r="H173" s="183">
        <f>G173/E173*100</f>
        <v>77.714285714285708</v>
      </c>
      <c r="I173" s="183">
        <f>G173/F173*100</f>
        <v>100</v>
      </c>
    </row>
    <row r="174" spans="1:9" ht="25.5" x14ac:dyDescent="0.25">
      <c r="A174" s="28">
        <v>3232</v>
      </c>
      <c r="B174" s="29"/>
      <c r="C174" s="30"/>
      <c r="D174" s="27" t="s">
        <v>70</v>
      </c>
      <c r="E174" s="75"/>
      <c r="F174" s="75"/>
      <c r="G174" s="75"/>
      <c r="H174" s="109"/>
      <c r="I174" s="109"/>
    </row>
    <row r="175" spans="1:9" x14ac:dyDescent="0.25">
      <c r="A175" s="28">
        <v>3233</v>
      </c>
      <c r="B175" s="29"/>
      <c r="C175" s="30"/>
      <c r="D175" s="27" t="s">
        <v>71</v>
      </c>
      <c r="E175" s="75"/>
      <c r="F175" s="75"/>
      <c r="G175" s="75"/>
      <c r="H175" s="109"/>
      <c r="I175" s="109"/>
    </row>
    <row r="176" spans="1:9" x14ac:dyDescent="0.25">
      <c r="A176" s="28">
        <v>3234</v>
      </c>
      <c r="B176" s="29"/>
      <c r="C176" s="30"/>
      <c r="D176" s="27" t="s">
        <v>72</v>
      </c>
      <c r="E176" s="75"/>
      <c r="F176" s="75"/>
      <c r="G176" s="75"/>
      <c r="H176" s="109"/>
      <c r="I176" s="109"/>
    </row>
    <row r="177" spans="1:9" x14ac:dyDescent="0.25">
      <c r="A177" s="28">
        <v>3235</v>
      </c>
      <c r="B177" s="29"/>
      <c r="C177" s="30"/>
      <c r="D177" s="27" t="s">
        <v>73</v>
      </c>
      <c r="E177" s="75"/>
      <c r="F177" s="75"/>
      <c r="G177" s="75"/>
      <c r="H177" s="109"/>
      <c r="I177" s="109"/>
    </row>
    <row r="178" spans="1:9" x14ac:dyDescent="0.25">
      <c r="A178" s="28">
        <v>3236</v>
      </c>
      <c r="B178" s="29"/>
      <c r="C178" s="30"/>
      <c r="D178" s="27" t="s">
        <v>74</v>
      </c>
      <c r="E178" s="75"/>
      <c r="F178" s="75"/>
      <c r="G178" s="75"/>
      <c r="H178" s="109"/>
      <c r="I178" s="109"/>
    </row>
    <row r="179" spans="1:9" x14ac:dyDescent="0.25">
      <c r="A179" s="28">
        <v>3237</v>
      </c>
      <c r="B179" s="29"/>
      <c r="C179" s="30"/>
      <c r="D179" s="27" t="s">
        <v>75</v>
      </c>
      <c r="E179" s="75">
        <v>119.13</v>
      </c>
      <c r="F179" s="75"/>
      <c r="G179" s="75"/>
      <c r="H179" s="109"/>
      <c r="I179" s="109"/>
    </row>
    <row r="180" spans="1:9" x14ac:dyDescent="0.25">
      <c r="A180" s="28">
        <v>3238</v>
      </c>
      <c r="B180" s="29"/>
      <c r="C180" s="30"/>
      <c r="D180" s="27" t="s">
        <v>76</v>
      </c>
      <c r="E180" s="75"/>
      <c r="F180" s="75"/>
      <c r="G180" s="75"/>
      <c r="H180" s="109"/>
      <c r="I180" s="109"/>
    </row>
    <row r="181" spans="1:9" ht="19.5" customHeight="1" x14ac:dyDescent="0.25">
      <c r="A181" s="28">
        <v>3239</v>
      </c>
      <c r="B181" s="29"/>
      <c r="C181" s="30"/>
      <c r="D181" s="27" t="s">
        <v>77</v>
      </c>
      <c r="E181" s="75">
        <v>60</v>
      </c>
      <c r="F181" s="75"/>
      <c r="G181" s="123"/>
      <c r="H181" s="183">
        <f>G181/E181*100</f>
        <v>0</v>
      </c>
      <c r="I181" s="183" t="e">
        <f>G181/F181*100</f>
        <v>#DIV/0!</v>
      </c>
    </row>
    <row r="182" spans="1:9" ht="25.5" x14ac:dyDescent="0.25">
      <c r="A182" s="22">
        <v>324</v>
      </c>
      <c r="B182" s="23"/>
      <c r="C182" s="24"/>
      <c r="D182" s="25" t="s">
        <v>78</v>
      </c>
      <c r="E182" s="74"/>
      <c r="F182" s="74"/>
      <c r="G182" s="74"/>
      <c r="H182" s="199"/>
      <c r="I182" s="199"/>
    </row>
    <row r="183" spans="1:9" ht="25.5" x14ac:dyDescent="0.25">
      <c r="A183" s="41">
        <v>3241</v>
      </c>
      <c r="B183" s="42"/>
      <c r="C183" s="43"/>
      <c r="D183" s="40" t="s">
        <v>104</v>
      </c>
      <c r="E183" s="75"/>
      <c r="F183" s="75"/>
      <c r="G183" s="75"/>
      <c r="H183" s="109"/>
      <c r="I183" s="109"/>
    </row>
    <row r="184" spans="1:9" ht="25.5" x14ac:dyDescent="0.25">
      <c r="A184" s="22">
        <v>329</v>
      </c>
      <c r="B184" s="23"/>
      <c r="C184" s="24"/>
      <c r="D184" s="25" t="s">
        <v>79</v>
      </c>
      <c r="E184" s="74">
        <f t="shared" ref="E184:F184" si="71">SUM(E185:E191)</f>
        <v>7625.74</v>
      </c>
      <c r="F184" s="74">
        <f t="shared" si="71"/>
        <v>1775.8</v>
      </c>
      <c r="G184" s="74">
        <f t="shared" ref="G184" si="72">SUM(G185:G191)</f>
        <v>1775.8</v>
      </c>
      <c r="H184" s="185">
        <f>G184/E184*100</f>
        <v>23.286920351336395</v>
      </c>
      <c r="I184" s="185">
        <f>G184/F184*100</f>
        <v>100</v>
      </c>
    </row>
    <row r="185" spans="1:9" ht="38.25" x14ac:dyDescent="0.25">
      <c r="A185" s="28">
        <v>3291</v>
      </c>
      <c r="B185" s="29"/>
      <c r="C185" s="30"/>
      <c r="D185" s="27" t="s">
        <v>80</v>
      </c>
      <c r="E185" s="75"/>
      <c r="F185" s="75"/>
      <c r="G185" s="75"/>
      <c r="H185" s="109"/>
      <c r="I185" s="109"/>
    </row>
    <row r="186" spans="1:9" x14ac:dyDescent="0.25">
      <c r="A186" s="28">
        <v>3292</v>
      </c>
      <c r="B186" s="29"/>
      <c r="C186" s="30"/>
      <c r="D186" s="27" t="s">
        <v>81</v>
      </c>
      <c r="E186" s="75"/>
      <c r="F186" s="75"/>
      <c r="G186" s="75"/>
      <c r="H186" s="109"/>
      <c r="I186" s="109"/>
    </row>
    <row r="187" spans="1:9" x14ac:dyDescent="0.25">
      <c r="A187" s="28">
        <v>3293</v>
      </c>
      <c r="B187" s="29"/>
      <c r="C187" s="30"/>
      <c r="D187" s="27" t="s">
        <v>82</v>
      </c>
      <c r="E187" s="75"/>
      <c r="F187" s="75"/>
      <c r="G187" s="75"/>
      <c r="H187" s="109"/>
      <c r="I187" s="109"/>
    </row>
    <row r="188" spans="1:9" x14ac:dyDescent="0.25">
      <c r="A188" s="28">
        <v>3294</v>
      </c>
      <c r="B188" s="29"/>
      <c r="C188" s="30"/>
      <c r="D188" s="27" t="s">
        <v>83</v>
      </c>
      <c r="E188" s="75"/>
      <c r="F188" s="75"/>
      <c r="G188" s="75"/>
      <c r="H188" s="109"/>
      <c r="I188" s="109"/>
    </row>
    <row r="189" spans="1:9" x14ac:dyDescent="0.25">
      <c r="A189" s="28">
        <v>3295</v>
      </c>
      <c r="B189" s="29"/>
      <c r="C189" s="30"/>
      <c r="D189" s="27" t="s">
        <v>84</v>
      </c>
      <c r="E189" s="75"/>
      <c r="F189" s="75"/>
      <c r="G189" s="75"/>
      <c r="H189" s="109"/>
      <c r="I189" s="109"/>
    </row>
    <row r="190" spans="1:9" x14ac:dyDescent="0.25">
      <c r="A190" s="28">
        <v>3296</v>
      </c>
      <c r="B190" s="29"/>
      <c r="C190" s="30"/>
      <c r="D190" s="27" t="s">
        <v>85</v>
      </c>
      <c r="E190" s="75"/>
      <c r="F190" s="75"/>
      <c r="G190" s="75"/>
      <c r="H190" s="109"/>
      <c r="I190" s="109"/>
    </row>
    <row r="191" spans="1:9" ht="25.5" x14ac:dyDescent="0.25">
      <c r="A191" s="28">
        <v>3299</v>
      </c>
      <c r="B191" s="29"/>
      <c r="C191" s="30"/>
      <c r="D191" s="27" t="s">
        <v>45</v>
      </c>
      <c r="E191" s="75">
        <v>7625.74</v>
      </c>
      <c r="F191" s="75">
        <v>1775.8</v>
      </c>
      <c r="G191" s="123">
        <v>1775.8</v>
      </c>
      <c r="H191" s="183">
        <f>G191/E191*100</f>
        <v>23.286920351336395</v>
      </c>
      <c r="I191" s="183">
        <f>G191/F191*100</f>
        <v>100</v>
      </c>
    </row>
    <row r="192" spans="1:9" x14ac:dyDescent="0.25">
      <c r="A192" s="31">
        <v>34</v>
      </c>
      <c r="B192" s="32"/>
      <c r="C192" s="33"/>
      <c r="D192" s="26" t="s">
        <v>46</v>
      </c>
      <c r="E192" s="73">
        <f t="shared" ref="E192:G192" si="73">SUM(E193)</f>
        <v>0</v>
      </c>
      <c r="F192" s="73">
        <f t="shared" si="73"/>
        <v>0</v>
      </c>
      <c r="G192" s="73">
        <f t="shared" si="73"/>
        <v>0</v>
      </c>
      <c r="H192" s="208" t="e">
        <f>G192/E192*100</f>
        <v>#DIV/0!</v>
      </c>
      <c r="I192" s="208" t="e">
        <f>G192/F192*100</f>
        <v>#DIV/0!</v>
      </c>
    </row>
    <row r="193" spans="1:9" x14ac:dyDescent="0.25">
      <c r="A193" s="22">
        <v>343</v>
      </c>
      <c r="B193" s="23"/>
      <c r="C193" s="24"/>
      <c r="D193" s="25" t="s">
        <v>47</v>
      </c>
      <c r="E193" s="74">
        <f t="shared" ref="E193:F193" si="74">SUM(E194:E195)</f>
        <v>0</v>
      </c>
      <c r="F193" s="74">
        <f t="shared" si="74"/>
        <v>0</v>
      </c>
      <c r="G193" s="74">
        <f t="shared" ref="G193" si="75">SUM(G194:G195)</f>
        <v>0</v>
      </c>
      <c r="H193" s="185" t="e">
        <f>G193/E193*100</f>
        <v>#DIV/0!</v>
      </c>
      <c r="I193" s="185" t="e">
        <f>G193/F193*100</f>
        <v>#DIV/0!</v>
      </c>
    </row>
    <row r="194" spans="1:9" ht="25.5" x14ac:dyDescent="0.25">
      <c r="A194" s="28">
        <v>3431</v>
      </c>
      <c r="B194" s="29"/>
      <c r="C194" s="30"/>
      <c r="D194" s="27" t="s">
        <v>86</v>
      </c>
      <c r="E194" s="75"/>
      <c r="F194" s="75"/>
      <c r="G194" s="75"/>
      <c r="H194" s="109"/>
      <c r="I194" s="109"/>
    </row>
    <row r="195" spans="1:9" x14ac:dyDescent="0.25">
      <c r="A195" s="28">
        <v>3433</v>
      </c>
      <c r="B195" s="29"/>
      <c r="C195" s="30"/>
      <c r="D195" s="27" t="s">
        <v>87</v>
      </c>
      <c r="E195" s="75"/>
      <c r="F195" s="75"/>
      <c r="G195" s="75"/>
      <c r="H195" s="109"/>
      <c r="I195" s="109"/>
    </row>
    <row r="196" spans="1:9" ht="38.25" x14ac:dyDescent="0.25">
      <c r="A196" s="31">
        <v>37</v>
      </c>
      <c r="B196" s="32"/>
      <c r="C196" s="33"/>
      <c r="D196" s="26" t="s">
        <v>48</v>
      </c>
      <c r="E196" s="73">
        <f t="shared" ref="E196:G196" si="76">SUM(E197)</f>
        <v>0</v>
      </c>
      <c r="F196" s="73">
        <f t="shared" si="76"/>
        <v>0</v>
      </c>
      <c r="G196" s="73">
        <f t="shared" si="76"/>
        <v>0</v>
      </c>
      <c r="H196" s="203"/>
      <c r="I196" s="203"/>
    </row>
    <row r="197" spans="1:9" ht="25.5" x14ac:dyDescent="0.25">
      <c r="A197" s="22">
        <v>372</v>
      </c>
      <c r="B197" s="23"/>
      <c r="C197" s="24"/>
      <c r="D197" s="25" t="s">
        <v>49</v>
      </c>
      <c r="E197" s="74"/>
      <c r="F197" s="74"/>
      <c r="G197" s="74"/>
      <c r="H197" s="199"/>
      <c r="I197" s="199"/>
    </row>
    <row r="198" spans="1:9" ht="25.5" x14ac:dyDescent="0.25">
      <c r="A198" s="28">
        <v>3721</v>
      </c>
      <c r="B198" s="29"/>
      <c r="C198" s="30"/>
      <c r="D198" s="27" t="s">
        <v>88</v>
      </c>
      <c r="E198" s="75"/>
      <c r="F198" s="75"/>
      <c r="G198" s="75"/>
      <c r="H198" s="109"/>
      <c r="I198" s="109"/>
    </row>
    <row r="199" spans="1:9" ht="25.5" x14ac:dyDescent="0.25">
      <c r="A199" s="28">
        <v>3722</v>
      </c>
      <c r="B199" s="29"/>
      <c r="C199" s="30"/>
      <c r="D199" s="27" t="s">
        <v>89</v>
      </c>
      <c r="E199" s="75"/>
      <c r="F199" s="75"/>
      <c r="G199" s="75"/>
      <c r="H199" s="109"/>
      <c r="I199" s="109"/>
    </row>
    <row r="200" spans="1:9" ht="38.25" x14ac:dyDescent="0.25">
      <c r="A200" s="204">
        <v>4</v>
      </c>
      <c r="B200" s="205"/>
      <c r="C200" s="206"/>
      <c r="D200" s="200" t="s">
        <v>38</v>
      </c>
      <c r="E200" s="202">
        <f t="shared" ref="E200:G200" si="77">SUM(E201)</f>
        <v>655.23</v>
      </c>
      <c r="F200" s="202">
        <f t="shared" si="77"/>
        <v>500</v>
      </c>
      <c r="G200" s="202">
        <f t="shared" si="77"/>
        <v>382.36</v>
      </c>
      <c r="H200" s="207">
        <f>G200/E200*100</f>
        <v>58.355081421790821</v>
      </c>
      <c r="I200" s="207">
        <f>G200/F200*100</f>
        <v>76.472000000000008</v>
      </c>
    </row>
    <row r="201" spans="1:9" ht="38.25" x14ac:dyDescent="0.25">
      <c r="A201" s="31">
        <v>42</v>
      </c>
      <c r="B201" s="32"/>
      <c r="C201" s="33"/>
      <c r="D201" s="26" t="s">
        <v>38</v>
      </c>
      <c r="E201" s="73">
        <f t="shared" ref="E201:F201" si="78">SUM(E202+E209)</f>
        <v>655.23</v>
      </c>
      <c r="F201" s="73">
        <f t="shared" si="78"/>
        <v>500</v>
      </c>
      <c r="G201" s="73">
        <f t="shared" ref="G201" si="79">SUM(G202+G209)</f>
        <v>382.36</v>
      </c>
      <c r="H201" s="208">
        <f>G201/E201*100</f>
        <v>58.355081421790821</v>
      </c>
      <c r="I201" s="208">
        <f>G201/F201*100</f>
        <v>76.472000000000008</v>
      </c>
    </row>
    <row r="202" spans="1:9" x14ac:dyDescent="0.25">
      <c r="A202" s="22">
        <v>422</v>
      </c>
      <c r="B202" s="23"/>
      <c r="C202" s="24"/>
      <c r="D202" s="25" t="s">
        <v>50</v>
      </c>
      <c r="E202" s="74">
        <f t="shared" ref="E202:F202" si="80">SUM(E203:E208)</f>
        <v>0</v>
      </c>
      <c r="F202" s="74">
        <f t="shared" si="80"/>
        <v>0</v>
      </c>
      <c r="G202" s="74">
        <f t="shared" ref="G202" si="81">SUM(G203:G208)</f>
        <v>0</v>
      </c>
      <c r="H202" s="185" t="e">
        <f>G202/E202*100</f>
        <v>#DIV/0!</v>
      </c>
      <c r="I202" s="185" t="e">
        <f>G202/F202*100</f>
        <v>#DIV/0!</v>
      </c>
    </row>
    <row r="203" spans="1:9" x14ac:dyDescent="0.25">
      <c r="A203" s="28">
        <v>4221</v>
      </c>
      <c r="B203" s="29"/>
      <c r="C203" s="30"/>
      <c r="D203" s="27" t="s">
        <v>90</v>
      </c>
      <c r="E203" s="75"/>
      <c r="F203" s="75"/>
      <c r="G203" s="75"/>
      <c r="H203" s="109"/>
      <c r="I203" s="109"/>
    </row>
    <row r="204" spans="1:9" x14ac:dyDescent="0.25">
      <c r="A204" s="28">
        <v>4222</v>
      </c>
      <c r="B204" s="29"/>
      <c r="C204" s="30"/>
      <c r="D204" s="27" t="s">
        <v>91</v>
      </c>
      <c r="E204" s="75"/>
      <c r="F204" s="75"/>
      <c r="G204" s="75"/>
      <c r="H204" s="109"/>
      <c r="I204" s="109"/>
    </row>
    <row r="205" spans="1:9" x14ac:dyDescent="0.25">
      <c r="A205" s="28">
        <v>4223</v>
      </c>
      <c r="B205" s="29"/>
      <c r="C205" s="30"/>
      <c r="D205" s="27" t="s">
        <v>92</v>
      </c>
      <c r="E205" s="75"/>
      <c r="F205" s="75"/>
      <c r="G205" s="75"/>
      <c r="H205" s="109"/>
      <c r="I205" s="109"/>
    </row>
    <row r="206" spans="1:9" x14ac:dyDescent="0.25">
      <c r="A206" s="28">
        <v>4225</v>
      </c>
      <c r="B206" s="29"/>
      <c r="C206" s="30"/>
      <c r="D206" s="27" t="s">
        <v>93</v>
      </c>
      <c r="E206" s="75"/>
      <c r="F206" s="75"/>
      <c r="G206" s="75"/>
      <c r="H206" s="109"/>
      <c r="I206" s="109"/>
    </row>
    <row r="207" spans="1:9" x14ac:dyDescent="0.25">
      <c r="A207" s="28">
        <v>4226</v>
      </c>
      <c r="B207" s="29"/>
      <c r="C207" s="30"/>
      <c r="D207" s="27" t="s">
        <v>94</v>
      </c>
      <c r="E207" s="75"/>
      <c r="F207" s="75"/>
      <c r="G207" s="75"/>
      <c r="H207" s="109"/>
      <c r="I207" s="109"/>
    </row>
    <row r="208" spans="1:9" ht="25.5" x14ac:dyDescent="0.25">
      <c r="A208" s="28">
        <v>4227</v>
      </c>
      <c r="B208" s="29"/>
      <c r="C208" s="30"/>
      <c r="D208" s="27" t="s">
        <v>95</v>
      </c>
      <c r="E208" s="75"/>
      <c r="F208" s="75"/>
      <c r="G208" s="75"/>
      <c r="H208" s="109"/>
      <c r="I208" s="109"/>
    </row>
    <row r="209" spans="1:9" ht="25.5" x14ac:dyDescent="0.25">
      <c r="A209" s="22">
        <v>424</v>
      </c>
      <c r="B209" s="23"/>
      <c r="C209" s="24"/>
      <c r="D209" s="25" t="s">
        <v>51</v>
      </c>
      <c r="E209" s="74">
        <f t="shared" ref="E209:G209" si="82">SUM(E210)</f>
        <v>655.23</v>
      </c>
      <c r="F209" s="74">
        <f t="shared" si="82"/>
        <v>500</v>
      </c>
      <c r="G209" s="74">
        <f t="shared" si="82"/>
        <v>382.36</v>
      </c>
      <c r="H209" s="185">
        <f>G209/E209*100</f>
        <v>58.355081421790821</v>
      </c>
      <c r="I209" s="185">
        <f>G209/F209*100</f>
        <v>76.472000000000008</v>
      </c>
    </row>
    <row r="210" spans="1:9" x14ac:dyDescent="0.25">
      <c r="A210" s="28">
        <v>4241</v>
      </c>
      <c r="B210" s="29"/>
      <c r="C210" s="30"/>
      <c r="D210" s="27" t="s">
        <v>96</v>
      </c>
      <c r="E210" s="75">
        <v>655.23</v>
      </c>
      <c r="F210" s="75">
        <v>500</v>
      </c>
      <c r="G210" s="123">
        <v>382.36</v>
      </c>
      <c r="H210" s="183">
        <f>G210/E210*100</f>
        <v>58.355081421790821</v>
      </c>
      <c r="I210" s="183">
        <f>G210/F210*100</f>
        <v>76.472000000000008</v>
      </c>
    </row>
    <row r="211" spans="1:9" x14ac:dyDescent="0.25">
      <c r="A211" s="28"/>
      <c r="B211" s="29"/>
      <c r="C211" s="30"/>
      <c r="D211" s="27"/>
      <c r="E211" s="75"/>
      <c r="F211" s="75"/>
      <c r="G211" s="75"/>
      <c r="H211" s="109"/>
      <c r="I211" s="109"/>
    </row>
    <row r="212" spans="1:9" x14ac:dyDescent="0.25">
      <c r="A212" s="28"/>
      <c r="B212" s="29"/>
      <c r="C212" s="30"/>
      <c r="D212" s="111" t="s">
        <v>97</v>
      </c>
      <c r="E212" s="112">
        <f>SUM(E148+E200)</f>
        <v>11127.4</v>
      </c>
      <c r="F212" s="112">
        <f>SUM(F148+F200)</f>
        <v>6296.66</v>
      </c>
      <c r="G212" s="112">
        <f>SUM(G148+G200)</f>
        <v>6299.0199999999995</v>
      </c>
      <c r="H212" s="184">
        <f>G212/E212*100</f>
        <v>56.608192389956322</v>
      </c>
      <c r="I212" s="184">
        <f>G212/F212*100</f>
        <v>100.03748018790914</v>
      </c>
    </row>
    <row r="213" spans="1:9" ht="15" customHeight="1" x14ac:dyDescent="0.25">
      <c r="A213" s="28"/>
      <c r="B213" s="29"/>
      <c r="C213" s="30"/>
      <c r="D213" s="27"/>
      <c r="E213" s="3"/>
      <c r="F213" s="3"/>
      <c r="G213" s="3"/>
    </row>
    <row r="214" spans="1:9" ht="51" x14ac:dyDescent="0.25">
      <c r="A214" s="271" t="s">
        <v>25</v>
      </c>
      <c r="B214" s="272"/>
      <c r="C214" s="273"/>
      <c r="D214" s="13" t="s">
        <v>26</v>
      </c>
      <c r="E214" s="14" t="s">
        <v>188</v>
      </c>
      <c r="F214" s="14" t="s">
        <v>172</v>
      </c>
      <c r="G214" s="14" t="s">
        <v>189</v>
      </c>
      <c r="H214" s="14" t="s">
        <v>173</v>
      </c>
      <c r="I214" s="14" t="s">
        <v>173</v>
      </c>
    </row>
    <row r="215" spans="1:9" ht="15" customHeight="1" x14ac:dyDescent="0.25">
      <c r="A215" s="175"/>
      <c r="B215" s="173"/>
      <c r="C215" s="174"/>
      <c r="D215" s="167">
        <v>1</v>
      </c>
      <c r="E215" s="170">
        <v>2</v>
      </c>
      <c r="F215" s="171">
        <v>3</v>
      </c>
      <c r="G215" s="171">
        <v>4</v>
      </c>
      <c r="H215" s="170" t="s">
        <v>174</v>
      </c>
      <c r="I215" s="172" t="s">
        <v>175</v>
      </c>
    </row>
    <row r="216" spans="1:9" x14ac:dyDescent="0.25">
      <c r="A216" s="268" t="s">
        <v>129</v>
      </c>
      <c r="B216" s="269"/>
      <c r="C216" s="270"/>
      <c r="D216" s="68" t="s">
        <v>131</v>
      </c>
      <c r="E216" s="3"/>
      <c r="F216" s="3"/>
      <c r="G216" s="3"/>
      <c r="H216" s="109"/>
      <c r="I216" s="109"/>
    </row>
    <row r="217" spans="1:9" x14ac:dyDescent="0.25">
      <c r="A217" s="259">
        <v>44</v>
      </c>
      <c r="B217" s="260"/>
      <c r="C217" s="261"/>
      <c r="D217" s="69" t="s">
        <v>130</v>
      </c>
      <c r="E217" s="3"/>
      <c r="F217" s="3"/>
      <c r="G217" s="3"/>
      <c r="H217" s="109"/>
      <c r="I217" s="109"/>
    </row>
    <row r="218" spans="1:9" ht="15" customHeight="1" x14ac:dyDescent="0.25">
      <c r="A218" s="262">
        <v>3</v>
      </c>
      <c r="B218" s="263"/>
      <c r="C218" s="264"/>
      <c r="D218" s="200" t="s">
        <v>15</v>
      </c>
      <c r="E218" s="202">
        <f>SUM(E219+E228+E262+E266)</f>
        <v>32180.620000000003</v>
      </c>
      <c r="F218" s="202">
        <f>SUM(F219+F228+F262+F266)</f>
        <v>29952.899999999998</v>
      </c>
      <c r="G218" s="202">
        <f>SUM(G219+G228+G262+G266)</f>
        <v>33282.090000000004</v>
      </c>
      <c r="H218" s="207">
        <f>G218/E218*100</f>
        <v>103.42277432815155</v>
      </c>
      <c r="I218" s="207">
        <f>G218/F218*100</f>
        <v>111.11475015774768</v>
      </c>
    </row>
    <row r="219" spans="1:9" x14ac:dyDescent="0.25">
      <c r="A219" s="265">
        <v>31</v>
      </c>
      <c r="B219" s="266"/>
      <c r="C219" s="267"/>
      <c r="D219" s="26" t="s">
        <v>16</v>
      </c>
      <c r="E219" s="73">
        <f t="shared" ref="E219:F219" si="83">SUM(E220+E224+E226)</f>
        <v>0</v>
      </c>
      <c r="F219" s="73">
        <f t="shared" si="83"/>
        <v>0</v>
      </c>
      <c r="G219" s="73">
        <f t="shared" ref="G219" si="84">SUM(G220+G224+G226)</f>
        <v>0</v>
      </c>
      <c r="H219" s="208" t="e">
        <f>G219/E219*100</f>
        <v>#DIV/0!</v>
      </c>
      <c r="I219" s="208" t="e">
        <f>G219/F219*100</f>
        <v>#DIV/0!</v>
      </c>
    </row>
    <row r="220" spans="1:9" x14ac:dyDescent="0.25">
      <c r="A220" s="22">
        <v>311</v>
      </c>
      <c r="B220" s="23"/>
      <c r="C220" s="24"/>
      <c r="D220" s="25" t="s">
        <v>40</v>
      </c>
      <c r="E220" s="74">
        <f t="shared" ref="E220:F220" si="85">SUM(E221:E223)</f>
        <v>0</v>
      </c>
      <c r="F220" s="74">
        <f t="shared" si="85"/>
        <v>0</v>
      </c>
      <c r="G220" s="74">
        <f t="shared" ref="G220" si="86">SUM(G221:G223)</f>
        <v>0</v>
      </c>
      <c r="H220" s="185" t="e">
        <f>G220/E220*100</f>
        <v>#DIV/0!</v>
      </c>
      <c r="I220" s="185" t="e">
        <f>G220/F220*100</f>
        <v>#DIV/0!</v>
      </c>
    </row>
    <row r="221" spans="1:9" x14ac:dyDescent="0.25">
      <c r="A221" s="65">
        <v>3111</v>
      </c>
      <c r="B221" s="66"/>
      <c r="C221" s="67"/>
      <c r="D221" s="64" t="s">
        <v>52</v>
      </c>
      <c r="E221" s="75">
        <v>0</v>
      </c>
      <c r="F221" s="75">
        <v>0</v>
      </c>
      <c r="G221" s="75"/>
      <c r="H221" s="109"/>
      <c r="I221" s="109"/>
    </row>
    <row r="222" spans="1:9" x14ac:dyDescent="0.25">
      <c r="A222" s="65">
        <v>3113</v>
      </c>
      <c r="B222" s="66"/>
      <c r="C222" s="67"/>
      <c r="D222" s="64" t="s">
        <v>53</v>
      </c>
      <c r="E222" s="75"/>
      <c r="F222" s="75"/>
      <c r="G222" s="75"/>
      <c r="H222" s="109"/>
      <c r="I222" s="109"/>
    </row>
    <row r="223" spans="1:9" x14ac:dyDescent="0.25">
      <c r="A223" s="65">
        <v>3114</v>
      </c>
      <c r="B223" s="66"/>
      <c r="C223" s="67"/>
      <c r="D223" s="64" t="s">
        <v>54</v>
      </c>
      <c r="E223" s="75"/>
      <c r="F223" s="75"/>
      <c r="G223" s="75"/>
      <c r="H223" s="109"/>
      <c r="I223" s="109"/>
    </row>
    <row r="224" spans="1:9" x14ac:dyDescent="0.25">
      <c r="A224" s="22">
        <v>312</v>
      </c>
      <c r="B224" s="23"/>
      <c r="C224" s="24"/>
      <c r="D224" s="25" t="s">
        <v>55</v>
      </c>
      <c r="E224" s="74">
        <f t="shared" ref="E224:G224" si="87">SUM(E225)</f>
        <v>0</v>
      </c>
      <c r="F224" s="74">
        <f t="shared" si="87"/>
        <v>0</v>
      </c>
      <c r="G224" s="74">
        <f t="shared" si="87"/>
        <v>0</v>
      </c>
      <c r="H224" s="199"/>
      <c r="I224" s="199"/>
    </row>
    <row r="225" spans="1:9" x14ac:dyDescent="0.25">
      <c r="A225" s="65">
        <v>3121</v>
      </c>
      <c r="B225" s="66"/>
      <c r="C225" s="67"/>
      <c r="D225" s="64" t="s">
        <v>56</v>
      </c>
      <c r="E225" s="75"/>
      <c r="F225" s="75"/>
      <c r="G225" s="75"/>
      <c r="H225" s="109"/>
      <c r="I225" s="109"/>
    </row>
    <row r="226" spans="1:9" x14ac:dyDescent="0.25">
      <c r="A226" s="22">
        <v>313</v>
      </c>
      <c r="B226" s="23"/>
      <c r="C226" s="24"/>
      <c r="D226" s="25" t="s">
        <v>41</v>
      </c>
      <c r="E226" s="74">
        <f>SUM(E227:E227)</f>
        <v>0</v>
      </c>
      <c r="F226" s="74">
        <f>SUM(F227:F227)</f>
        <v>0</v>
      </c>
      <c r="G226" s="74">
        <f>SUM(G227:G227)</f>
        <v>0</v>
      </c>
      <c r="H226" s="199"/>
      <c r="I226" s="199"/>
    </row>
    <row r="227" spans="1:9" ht="25.5" x14ac:dyDescent="0.25">
      <c r="A227" s="65">
        <v>3132</v>
      </c>
      <c r="B227" s="66"/>
      <c r="C227" s="67"/>
      <c r="D227" s="64" t="s">
        <v>57</v>
      </c>
      <c r="E227" s="75"/>
      <c r="F227" s="75"/>
      <c r="G227" s="75"/>
      <c r="H227" s="109"/>
      <c r="I227" s="109"/>
    </row>
    <row r="228" spans="1:9" x14ac:dyDescent="0.25">
      <c r="A228" s="265">
        <v>32</v>
      </c>
      <c r="B228" s="266"/>
      <c r="C228" s="267"/>
      <c r="D228" s="26" t="s">
        <v>27</v>
      </c>
      <c r="E228" s="73">
        <f>SUM(E229+E234+E242+E252+E254)</f>
        <v>31718.570000000003</v>
      </c>
      <c r="F228" s="73">
        <f t="shared" ref="F228" si="88">SUM(F229+F234+F242+F252+F254)</f>
        <v>29432.899999999998</v>
      </c>
      <c r="G228" s="73">
        <f t="shared" ref="G228" si="89">SUM(G229+G234+G242+G252+G254)</f>
        <v>32778.910000000003</v>
      </c>
      <c r="H228" s="208">
        <f>G228/E228*100</f>
        <v>103.34296281326681</v>
      </c>
      <c r="I228" s="208">
        <f>G228/F228*100</f>
        <v>111.36826476493992</v>
      </c>
    </row>
    <row r="229" spans="1:9" x14ac:dyDescent="0.25">
      <c r="A229" s="22">
        <v>321</v>
      </c>
      <c r="B229" s="23"/>
      <c r="C229" s="24"/>
      <c r="D229" s="25" t="s">
        <v>42</v>
      </c>
      <c r="E229" s="74">
        <f t="shared" ref="E229:F229" si="90">SUM(E230:E233)</f>
        <v>3244.67</v>
      </c>
      <c r="F229" s="74">
        <f t="shared" si="90"/>
        <v>3334.04</v>
      </c>
      <c r="G229" s="74">
        <f t="shared" ref="G229" si="91">SUM(G230:G233)</f>
        <v>3702.14</v>
      </c>
      <c r="H229" s="185">
        <f>G229/E229*100</f>
        <v>114.09912256100003</v>
      </c>
      <c r="I229" s="185">
        <f>G229/F229*100</f>
        <v>111.04065938021139</v>
      </c>
    </row>
    <row r="230" spans="1:9" x14ac:dyDescent="0.25">
      <c r="A230" s="65">
        <v>3211</v>
      </c>
      <c r="B230" s="66"/>
      <c r="C230" s="67"/>
      <c r="D230" s="64" t="s">
        <v>58</v>
      </c>
      <c r="E230" s="75">
        <v>1773.85</v>
      </c>
      <c r="F230" s="75">
        <v>1432.54</v>
      </c>
      <c r="G230" s="123">
        <f>1604.54-30</f>
        <v>1574.54</v>
      </c>
      <c r="H230" s="209">
        <f>G230/E230*100</f>
        <v>88.763987935845762</v>
      </c>
      <c r="I230" s="209">
        <f>G230/F230*100</f>
        <v>109.91246317729349</v>
      </c>
    </row>
    <row r="231" spans="1:9" ht="25.5" x14ac:dyDescent="0.25">
      <c r="A231" s="65">
        <v>3212</v>
      </c>
      <c r="B231" s="66"/>
      <c r="C231" s="67"/>
      <c r="D231" s="64" t="s">
        <v>59</v>
      </c>
      <c r="E231" s="75"/>
      <c r="F231" s="75"/>
      <c r="G231" s="75"/>
      <c r="H231" s="109"/>
      <c r="I231" s="109"/>
    </row>
    <row r="232" spans="1:9" x14ac:dyDescent="0.25">
      <c r="A232" s="65">
        <v>3213</v>
      </c>
      <c r="B232" s="66"/>
      <c r="C232" s="67"/>
      <c r="D232" s="64" t="s">
        <v>60</v>
      </c>
      <c r="E232" s="75">
        <v>316.5</v>
      </c>
      <c r="F232" s="75">
        <f>326.5+75</f>
        <v>401.5</v>
      </c>
      <c r="G232" s="123">
        <v>401.5</v>
      </c>
      <c r="H232" s="209">
        <f t="shared" ref="H232:H233" si="92">G232/E232*100</f>
        <v>126.8562401263823</v>
      </c>
      <c r="I232" s="209">
        <f t="shared" ref="I232:I233" si="93">G232/F232*100</f>
        <v>100</v>
      </c>
    </row>
    <row r="233" spans="1:9" ht="25.5" x14ac:dyDescent="0.25">
      <c r="A233" s="65">
        <v>3214</v>
      </c>
      <c r="B233" s="66"/>
      <c r="C233" s="67"/>
      <c r="D233" s="64" t="s">
        <v>61</v>
      </c>
      <c r="E233" s="75">
        <v>1154.32</v>
      </c>
      <c r="F233" s="75">
        <v>1500</v>
      </c>
      <c r="G233" s="123">
        <v>1726.1</v>
      </c>
      <c r="H233" s="209">
        <f t="shared" si="92"/>
        <v>149.53392473490888</v>
      </c>
      <c r="I233" s="209">
        <f t="shared" si="93"/>
        <v>115.07333333333332</v>
      </c>
    </row>
    <row r="234" spans="1:9" x14ac:dyDescent="0.25">
      <c r="A234" s="22">
        <v>322</v>
      </c>
      <c r="B234" s="23"/>
      <c r="C234" s="24"/>
      <c r="D234" s="25" t="s">
        <v>43</v>
      </c>
      <c r="E234" s="74">
        <f t="shared" ref="E234:F234" si="94">SUM(E235:E241)</f>
        <v>14782.24</v>
      </c>
      <c r="F234" s="74">
        <f t="shared" si="94"/>
        <v>13824.140000000001</v>
      </c>
      <c r="G234" s="74">
        <f t="shared" ref="G234" si="95">SUM(G235:G241)</f>
        <v>16280.710000000001</v>
      </c>
      <c r="H234" s="185">
        <f>G234/E234*100</f>
        <v>110.13696165127884</v>
      </c>
      <c r="I234" s="185">
        <f>G234/F234*100</f>
        <v>117.77014700371957</v>
      </c>
    </row>
    <row r="235" spans="1:9" ht="25.5" x14ac:dyDescent="0.25">
      <c r="A235" s="65">
        <v>3221</v>
      </c>
      <c r="B235" s="66"/>
      <c r="C235" s="67"/>
      <c r="D235" s="64" t="s">
        <v>62</v>
      </c>
      <c r="E235" s="75">
        <v>5044.2</v>
      </c>
      <c r="F235" s="75">
        <v>3800</v>
      </c>
      <c r="G235" s="123">
        <v>4487.53</v>
      </c>
      <c r="H235" s="209">
        <f t="shared" ref="H235:H241" si="96">G235/E235*100</f>
        <v>88.964156853415801</v>
      </c>
      <c r="I235" s="209">
        <f t="shared" ref="I235:I241" si="97">G235/F235*100</f>
        <v>118.0928947368421</v>
      </c>
    </row>
    <row r="236" spans="1:9" x14ac:dyDescent="0.25">
      <c r="A236" s="65">
        <v>3222</v>
      </c>
      <c r="B236" s="66"/>
      <c r="C236" s="67"/>
      <c r="D236" s="64" t="s">
        <v>63</v>
      </c>
      <c r="E236" s="75"/>
      <c r="F236" s="75"/>
      <c r="G236" s="123"/>
      <c r="H236" s="209"/>
      <c r="I236" s="209"/>
    </row>
    <row r="237" spans="1:9" x14ac:dyDescent="0.25">
      <c r="A237" s="65">
        <v>3223</v>
      </c>
      <c r="B237" s="66"/>
      <c r="C237" s="67"/>
      <c r="D237" s="64" t="s">
        <v>64</v>
      </c>
      <c r="E237" s="75">
        <v>7119.96</v>
      </c>
      <c r="F237" s="75">
        <v>7500</v>
      </c>
      <c r="G237" s="123">
        <v>9108.3799999999992</v>
      </c>
      <c r="H237" s="209">
        <f t="shared" si="96"/>
        <v>127.9274040865398</v>
      </c>
      <c r="I237" s="209">
        <f t="shared" si="97"/>
        <v>121.44506666666666</v>
      </c>
    </row>
    <row r="238" spans="1:9" ht="25.5" x14ac:dyDescent="0.25">
      <c r="A238" s="65">
        <v>3224</v>
      </c>
      <c r="B238" s="66"/>
      <c r="C238" s="67"/>
      <c r="D238" s="64" t="s">
        <v>65</v>
      </c>
      <c r="E238" s="75">
        <v>1433.23</v>
      </c>
      <c r="F238" s="75">
        <v>2000</v>
      </c>
      <c r="G238" s="123">
        <v>2072.42</v>
      </c>
      <c r="H238" s="209">
        <f t="shared" si="96"/>
        <v>144.59786635780719</v>
      </c>
      <c r="I238" s="209">
        <f t="shared" si="97"/>
        <v>103.62100000000001</v>
      </c>
    </row>
    <row r="239" spans="1:9" x14ac:dyDescent="0.25">
      <c r="A239" s="65">
        <v>3225</v>
      </c>
      <c r="B239" s="66"/>
      <c r="C239" s="67"/>
      <c r="D239" s="64" t="s">
        <v>66</v>
      </c>
      <c r="E239" s="75">
        <v>918.09</v>
      </c>
      <c r="F239" s="75">
        <v>478.69</v>
      </c>
      <c r="G239" s="123">
        <v>566.92999999999995</v>
      </c>
      <c r="H239" s="209">
        <f t="shared" si="96"/>
        <v>61.751026587807289</v>
      </c>
      <c r="I239" s="209">
        <f t="shared" si="97"/>
        <v>118.43364181411769</v>
      </c>
    </row>
    <row r="240" spans="1:9" ht="25.5" x14ac:dyDescent="0.25">
      <c r="A240" s="65">
        <v>3226</v>
      </c>
      <c r="B240" s="66"/>
      <c r="C240" s="67"/>
      <c r="D240" s="64" t="s">
        <v>67</v>
      </c>
      <c r="E240" s="75"/>
      <c r="F240" s="75"/>
      <c r="G240" s="123"/>
      <c r="H240" s="209"/>
      <c r="I240" s="209"/>
    </row>
    <row r="241" spans="1:9" ht="25.5" x14ac:dyDescent="0.25">
      <c r="A241" s="65">
        <v>3227</v>
      </c>
      <c r="B241" s="66"/>
      <c r="C241" s="67"/>
      <c r="D241" s="64" t="s">
        <v>68</v>
      </c>
      <c r="E241" s="75">
        <v>266.76</v>
      </c>
      <c r="F241" s="75">
        <v>45.45</v>
      </c>
      <c r="G241" s="123">
        <v>45.45</v>
      </c>
      <c r="H241" s="209">
        <f t="shared" si="96"/>
        <v>17.037786774628884</v>
      </c>
      <c r="I241" s="209">
        <f t="shared" si="97"/>
        <v>100</v>
      </c>
    </row>
    <row r="242" spans="1:9" x14ac:dyDescent="0.25">
      <c r="A242" s="22">
        <v>323</v>
      </c>
      <c r="B242" s="23"/>
      <c r="C242" s="24"/>
      <c r="D242" s="25" t="s">
        <v>44</v>
      </c>
      <c r="E242" s="74">
        <f t="shared" ref="E242:F242" si="98">SUM(E243:E251)</f>
        <v>13263.17</v>
      </c>
      <c r="F242" s="74">
        <f t="shared" si="98"/>
        <v>11589.85</v>
      </c>
      <c r="G242" s="74">
        <f t="shared" ref="G242" si="99">SUM(G243:G251)</f>
        <v>12089.599999999999</v>
      </c>
      <c r="H242" s="185">
        <f>G242/E242*100</f>
        <v>91.151662837768029</v>
      </c>
      <c r="I242" s="185">
        <f>G242/F242*100</f>
        <v>104.31196262246705</v>
      </c>
    </row>
    <row r="243" spans="1:9" x14ac:dyDescent="0.25">
      <c r="A243" s="65">
        <v>3231</v>
      </c>
      <c r="B243" s="66"/>
      <c r="C243" s="67"/>
      <c r="D243" s="64" t="s">
        <v>69</v>
      </c>
      <c r="E243" s="75">
        <v>1929.76</v>
      </c>
      <c r="F243" s="75">
        <v>2000</v>
      </c>
      <c r="G243" s="123">
        <v>1964.31</v>
      </c>
      <c r="H243" s="209">
        <f t="shared" ref="H243:H251" si="100">G243/E243*100</f>
        <v>101.79037807810299</v>
      </c>
      <c r="I243" s="209">
        <f t="shared" ref="I243:I251" si="101">G243/F243*100</f>
        <v>98.215500000000006</v>
      </c>
    </row>
    <row r="244" spans="1:9" ht="25.5" x14ac:dyDescent="0.25">
      <c r="A244" s="65">
        <v>3232</v>
      </c>
      <c r="B244" s="66"/>
      <c r="C244" s="67"/>
      <c r="D244" s="64" t="s">
        <v>70</v>
      </c>
      <c r="E244" s="75">
        <v>2921.74</v>
      </c>
      <c r="F244" s="75">
        <f>8500-6588.75</f>
        <v>1911.25</v>
      </c>
      <c r="G244" s="123">
        <v>2340.58</v>
      </c>
      <c r="H244" s="209">
        <f t="shared" si="100"/>
        <v>80.109113062763967</v>
      </c>
      <c r="I244" s="209">
        <f t="shared" si="101"/>
        <v>122.463309352518</v>
      </c>
    </row>
    <row r="245" spans="1:9" x14ac:dyDescent="0.25">
      <c r="A245" s="65">
        <v>3233</v>
      </c>
      <c r="B245" s="66"/>
      <c r="C245" s="67"/>
      <c r="D245" s="64" t="s">
        <v>71</v>
      </c>
      <c r="E245" s="75">
        <v>127.44</v>
      </c>
      <c r="F245" s="75">
        <v>305</v>
      </c>
      <c r="G245" s="123">
        <v>301.95</v>
      </c>
      <c r="H245" s="209">
        <f t="shared" si="100"/>
        <v>236.9350282485876</v>
      </c>
      <c r="I245" s="209">
        <f t="shared" si="101"/>
        <v>99</v>
      </c>
    </row>
    <row r="246" spans="1:9" x14ac:dyDescent="0.25">
      <c r="A246" s="65">
        <v>3234</v>
      </c>
      <c r="B246" s="66"/>
      <c r="C246" s="67"/>
      <c r="D246" s="64" t="s">
        <v>72</v>
      </c>
      <c r="E246" s="75">
        <v>3202.12</v>
      </c>
      <c r="F246" s="75">
        <v>3500</v>
      </c>
      <c r="G246" s="123">
        <v>3528.1</v>
      </c>
      <c r="H246" s="209">
        <f t="shared" si="100"/>
        <v>110.18013066343548</v>
      </c>
      <c r="I246" s="209">
        <f t="shared" si="101"/>
        <v>100.80285714285715</v>
      </c>
    </row>
    <row r="247" spans="1:9" x14ac:dyDescent="0.25">
      <c r="A247" s="65">
        <v>3235</v>
      </c>
      <c r="B247" s="66"/>
      <c r="C247" s="67"/>
      <c r="D247" s="64" t="s">
        <v>73</v>
      </c>
      <c r="E247" s="75"/>
      <c r="F247" s="75">
        <f t="shared" ref="F247" si="102">E247*2.7%+E247</f>
        <v>0</v>
      </c>
      <c r="G247" s="123"/>
      <c r="H247" s="209"/>
      <c r="I247" s="209"/>
    </row>
    <row r="248" spans="1:9" x14ac:dyDescent="0.25">
      <c r="A248" s="65">
        <v>3236</v>
      </c>
      <c r="B248" s="66"/>
      <c r="C248" s="67"/>
      <c r="D248" s="64" t="s">
        <v>74</v>
      </c>
      <c r="E248" s="75">
        <v>964.24</v>
      </c>
      <c r="F248" s="75">
        <v>674.75</v>
      </c>
      <c r="G248" s="123">
        <v>887.75</v>
      </c>
      <c r="H248" s="209">
        <f t="shared" si="100"/>
        <v>92.06732763627312</v>
      </c>
      <c r="I248" s="209">
        <f t="shared" si="101"/>
        <v>131.56724712856612</v>
      </c>
    </row>
    <row r="249" spans="1:9" x14ac:dyDescent="0.25">
      <c r="A249" s="65">
        <v>3237</v>
      </c>
      <c r="B249" s="66"/>
      <c r="C249" s="67"/>
      <c r="D249" s="64" t="s">
        <v>75</v>
      </c>
      <c r="E249" s="75">
        <v>2937.5</v>
      </c>
      <c r="F249" s="75">
        <v>325</v>
      </c>
      <c r="G249" s="123"/>
      <c r="H249" s="209"/>
      <c r="I249" s="209"/>
    </row>
    <row r="250" spans="1:9" x14ac:dyDescent="0.25">
      <c r="A250" s="65">
        <v>3238</v>
      </c>
      <c r="B250" s="66"/>
      <c r="C250" s="67"/>
      <c r="D250" s="64" t="s">
        <v>76</v>
      </c>
      <c r="E250" s="75">
        <v>939.62</v>
      </c>
      <c r="F250" s="75">
        <v>1116</v>
      </c>
      <c r="G250" s="123">
        <v>1083.1500000000001</v>
      </c>
      <c r="H250" s="209">
        <f t="shared" si="100"/>
        <v>115.27532406717611</v>
      </c>
      <c r="I250" s="209">
        <f t="shared" si="101"/>
        <v>97.056451612903231</v>
      </c>
    </row>
    <row r="251" spans="1:9" x14ac:dyDescent="0.25">
      <c r="A251" s="65">
        <v>3239</v>
      </c>
      <c r="B251" s="66"/>
      <c r="C251" s="67"/>
      <c r="D251" s="64" t="s">
        <v>77</v>
      </c>
      <c r="E251" s="75">
        <v>240.75</v>
      </c>
      <c r="F251" s="75">
        <f>2820.35-1062.5</f>
        <v>1757.85</v>
      </c>
      <c r="G251" s="123">
        <v>1983.76</v>
      </c>
      <c r="H251" s="209">
        <f t="shared" si="100"/>
        <v>823.99169262720659</v>
      </c>
      <c r="I251" s="209">
        <f t="shared" si="101"/>
        <v>112.85149472366814</v>
      </c>
    </row>
    <row r="252" spans="1:9" ht="25.5" x14ac:dyDescent="0.25">
      <c r="A252" s="22">
        <v>324</v>
      </c>
      <c r="B252" s="23"/>
      <c r="C252" s="24"/>
      <c r="D252" s="25" t="s">
        <v>78</v>
      </c>
      <c r="E252" s="74"/>
      <c r="F252" s="74"/>
      <c r="G252" s="74"/>
      <c r="H252" s="199"/>
      <c r="I252" s="199"/>
    </row>
    <row r="253" spans="1:9" ht="25.5" x14ac:dyDescent="0.25">
      <c r="A253" s="65">
        <v>3241</v>
      </c>
      <c r="B253" s="66"/>
      <c r="C253" s="67"/>
      <c r="D253" s="64" t="s">
        <v>104</v>
      </c>
      <c r="E253" s="75"/>
      <c r="F253" s="75"/>
      <c r="G253" s="75"/>
      <c r="H253" s="109"/>
      <c r="I253" s="109"/>
    </row>
    <row r="254" spans="1:9" ht="25.5" x14ac:dyDescent="0.25">
      <c r="A254" s="22">
        <v>329</v>
      </c>
      <c r="B254" s="23"/>
      <c r="C254" s="24"/>
      <c r="D254" s="25" t="s">
        <v>79</v>
      </c>
      <c r="E254" s="74">
        <f t="shared" ref="E254:F254" si="103">SUM(E255:E261)</f>
        <v>428.49</v>
      </c>
      <c r="F254" s="74">
        <f t="shared" si="103"/>
        <v>684.87</v>
      </c>
      <c r="G254" s="74">
        <f t="shared" ref="G254" si="104">SUM(G255:G261)</f>
        <v>706.46</v>
      </c>
      <c r="H254" s="185">
        <f>G254/E254*100</f>
        <v>164.87199234521225</v>
      </c>
      <c r="I254" s="185">
        <f>G254/F254*100</f>
        <v>103.15242308759326</v>
      </c>
    </row>
    <row r="255" spans="1:9" ht="38.25" x14ac:dyDescent="0.25">
      <c r="A255" s="65">
        <v>3291</v>
      </c>
      <c r="B255" s="66"/>
      <c r="C255" s="67"/>
      <c r="D255" s="64" t="s">
        <v>80</v>
      </c>
      <c r="E255" s="75">
        <v>150</v>
      </c>
      <c r="F255" s="75"/>
      <c r="G255" s="75"/>
      <c r="H255" s="109"/>
      <c r="I255" s="109"/>
    </row>
    <row r="256" spans="1:9" x14ac:dyDescent="0.25">
      <c r="A256" s="65">
        <v>3292</v>
      </c>
      <c r="B256" s="66"/>
      <c r="C256" s="67"/>
      <c r="D256" s="64" t="s">
        <v>81</v>
      </c>
      <c r="E256" s="75"/>
      <c r="F256" s="75"/>
      <c r="G256" s="75"/>
      <c r="H256" s="109"/>
      <c r="I256" s="109"/>
    </row>
    <row r="257" spans="1:9" x14ac:dyDescent="0.25">
      <c r="A257" s="65">
        <v>3293</v>
      </c>
      <c r="B257" s="66"/>
      <c r="C257" s="67"/>
      <c r="D257" s="64" t="s">
        <v>82</v>
      </c>
      <c r="E257" s="75"/>
      <c r="F257" s="75"/>
      <c r="G257" s="75"/>
      <c r="H257" s="109"/>
      <c r="I257" s="109"/>
    </row>
    <row r="258" spans="1:9" x14ac:dyDescent="0.25">
      <c r="A258" s="65">
        <v>3294</v>
      </c>
      <c r="B258" s="66"/>
      <c r="C258" s="67"/>
      <c r="D258" s="64" t="s">
        <v>83</v>
      </c>
      <c r="E258" s="75">
        <v>176.36</v>
      </c>
      <c r="F258" s="75">
        <v>190</v>
      </c>
      <c r="G258" s="123">
        <v>188.09</v>
      </c>
      <c r="H258" s="209">
        <f t="shared" ref="H258" si="105">G258/E258*100</f>
        <v>106.65116806532093</v>
      </c>
      <c r="I258" s="209">
        <f t="shared" ref="I258:I259" si="106">G258/F258*100</f>
        <v>98.994736842105269</v>
      </c>
    </row>
    <row r="259" spans="1:9" x14ac:dyDescent="0.25">
      <c r="A259" s="65">
        <v>3295</v>
      </c>
      <c r="B259" s="66"/>
      <c r="C259" s="67"/>
      <c r="D259" s="64" t="s">
        <v>84</v>
      </c>
      <c r="E259" s="75">
        <v>14.28</v>
      </c>
      <c r="F259" s="75">
        <v>74.34</v>
      </c>
      <c r="G259" s="123">
        <v>74.34</v>
      </c>
      <c r="H259" s="209"/>
      <c r="I259" s="209">
        <f t="shared" si="106"/>
        <v>100</v>
      </c>
    </row>
    <row r="260" spans="1:9" x14ac:dyDescent="0.25">
      <c r="A260" s="65">
        <v>3296</v>
      </c>
      <c r="B260" s="66"/>
      <c r="C260" s="67"/>
      <c r="D260" s="64" t="s">
        <v>85</v>
      </c>
      <c r="E260" s="75"/>
      <c r="F260" s="75"/>
      <c r="G260" s="75"/>
      <c r="H260" s="109"/>
      <c r="I260" s="109"/>
    </row>
    <row r="261" spans="1:9" ht="25.5" x14ac:dyDescent="0.25">
      <c r="A261" s="65">
        <v>3299</v>
      </c>
      <c r="B261" s="66"/>
      <c r="C261" s="67"/>
      <c r="D261" s="64" t="s">
        <v>45</v>
      </c>
      <c r="E261" s="75">
        <v>87.85</v>
      </c>
      <c r="F261" s="75">
        <v>420.53</v>
      </c>
      <c r="G261" s="123">
        <v>444.03</v>
      </c>
      <c r="H261" s="209">
        <f>G261/E261*100</f>
        <v>505.44109277177006</v>
      </c>
      <c r="I261" s="209">
        <f>G261/F261*100</f>
        <v>105.58818633628992</v>
      </c>
    </row>
    <row r="262" spans="1:9" x14ac:dyDescent="0.25">
      <c r="A262" s="70">
        <v>34</v>
      </c>
      <c r="B262" s="71"/>
      <c r="C262" s="72"/>
      <c r="D262" s="26" t="s">
        <v>46</v>
      </c>
      <c r="E262" s="73">
        <f t="shared" ref="E262:G262" si="107">SUM(E263)</f>
        <v>462.05</v>
      </c>
      <c r="F262" s="73">
        <f t="shared" si="107"/>
        <v>520</v>
      </c>
      <c r="G262" s="73">
        <f t="shared" si="107"/>
        <v>503.18</v>
      </c>
      <c r="H262" s="208">
        <f>G262/E262*100</f>
        <v>108.90163402229196</v>
      </c>
      <c r="I262" s="208">
        <f>G262/F262*100</f>
        <v>96.765384615384619</v>
      </c>
    </row>
    <row r="263" spans="1:9" x14ac:dyDescent="0.25">
      <c r="A263" s="22">
        <v>343</v>
      </c>
      <c r="B263" s="23"/>
      <c r="C263" s="24"/>
      <c r="D263" s="25" t="s">
        <v>47</v>
      </c>
      <c r="E263" s="74">
        <f t="shared" ref="E263:F263" si="108">SUM(E264:E265)</f>
        <v>462.05</v>
      </c>
      <c r="F263" s="74">
        <f t="shared" si="108"/>
        <v>520</v>
      </c>
      <c r="G263" s="74">
        <f t="shared" ref="G263" si="109">SUM(G264:G265)</f>
        <v>503.18</v>
      </c>
      <c r="H263" s="185">
        <f>G263/E263*100</f>
        <v>108.90163402229196</v>
      </c>
      <c r="I263" s="185">
        <f>G263/F263*100</f>
        <v>96.765384615384619</v>
      </c>
    </row>
    <row r="264" spans="1:9" ht="25.5" x14ac:dyDescent="0.25">
      <c r="A264" s="65">
        <v>3431</v>
      </c>
      <c r="B264" s="66"/>
      <c r="C264" s="67"/>
      <c r="D264" s="64" t="s">
        <v>86</v>
      </c>
      <c r="E264" s="75">
        <v>462.05</v>
      </c>
      <c r="F264" s="75">
        <v>520</v>
      </c>
      <c r="G264" s="123">
        <v>503.18</v>
      </c>
      <c r="H264" s="209">
        <f>G264/E264*100</f>
        <v>108.90163402229196</v>
      </c>
      <c r="I264" s="209">
        <f>G264/F264*100</f>
        <v>96.765384615384619</v>
      </c>
    </row>
    <row r="265" spans="1:9" x14ac:dyDescent="0.25">
      <c r="A265" s="65">
        <v>3433</v>
      </c>
      <c r="B265" s="66"/>
      <c r="C265" s="67"/>
      <c r="D265" s="64" t="s">
        <v>87</v>
      </c>
      <c r="E265" s="75"/>
      <c r="F265" s="75"/>
      <c r="G265" s="75"/>
      <c r="H265" s="109"/>
      <c r="I265" s="109"/>
    </row>
    <row r="266" spans="1:9" ht="38.25" x14ac:dyDescent="0.25">
      <c r="A266" s="70">
        <v>37</v>
      </c>
      <c r="B266" s="71"/>
      <c r="C266" s="72"/>
      <c r="D266" s="26" t="s">
        <v>48</v>
      </c>
      <c r="E266" s="73">
        <f t="shared" ref="E266:G266" si="110">SUM(E267)</f>
        <v>0</v>
      </c>
      <c r="F266" s="73">
        <f t="shared" si="110"/>
        <v>0</v>
      </c>
      <c r="G266" s="73">
        <f t="shared" si="110"/>
        <v>0</v>
      </c>
      <c r="H266" s="203"/>
      <c r="I266" s="203"/>
    </row>
    <row r="267" spans="1:9" ht="25.5" x14ac:dyDescent="0.25">
      <c r="A267" s="22">
        <v>372</v>
      </c>
      <c r="B267" s="23"/>
      <c r="C267" s="24"/>
      <c r="D267" s="25" t="s">
        <v>49</v>
      </c>
      <c r="E267" s="74"/>
      <c r="F267" s="74"/>
      <c r="G267" s="74"/>
      <c r="H267" s="199"/>
      <c r="I267" s="199"/>
    </row>
    <row r="268" spans="1:9" ht="25.5" x14ac:dyDescent="0.25">
      <c r="A268" s="65">
        <v>3721</v>
      </c>
      <c r="B268" s="66"/>
      <c r="C268" s="67"/>
      <c r="D268" s="64" t="s">
        <v>88</v>
      </c>
      <c r="E268" s="75"/>
      <c r="F268" s="75"/>
      <c r="G268" s="75"/>
      <c r="H268" s="109"/>
      <c r="I268" s="109"/>
    </row>
    <row r="269" spans="1:9" ht="25.5" x14ac:dyDescent="0.25">
      <c r="A269" s="65">
        <v>3722</v>
      </c>
      <c r="B269" s="66"/>
      <c r="C269" s="67"/>
      <c r="D269" s="64" t="s">
        <v>89</v>
      </c>
      <c r="E269" s="75"/>
      <c r="F269" s="75"/>
      <c r="G269" s="75"/>
      <c r="H269" s="109"/>
      <c r="I269" s="109"/>
    </row>
    <row r="270" spans="1:9" ht="38.25" x14ac:dyDescent="0.25">
      <c r="A270" s="204">
        <v>4</v>
      </c>
      <c r="B270" s="205"/>
      <c r="C270" s="206"/>
      <c r="D270" s="215" t="s">
        <v>38</v>
      </c>
      <c r="E270" s="202">
        <f t="shared" ref="E270:G270" si="111">SUM(E271)</f>
        <v>3263.94</v>
      </c>
      <c r="F270" s="202">
        <f t="shared" si="111"/>
        <v>0</v>
      </c>
      <c r="G270" s="202">
        <f t="shared" si="111"/>
        <v>0</v>
      </c>
      <c r="H270" s="207">
        <f>G270/E270*100</f>
        <v>0</v>
      </c>
      <c r="I270" s="207" t="e">
        <f>G270/F270*100</f>
        <v>#DIV/0!</v>
      </c>
    </row>
    <row r="271" spans="1:9" ht="38.25" x14ac:dyDescent="0.25">
      <c r="A271" s="210">
        <v>42</v>
      </c>
      <c r="B271" s="211"/>
      <c r="C271" s="212"/>
      <c r="D271" s="26" t="s">
        <v>38</v>
      </c>
      <c r="E271" s="73">
        <f>E272</f>
        <v>3263.94</v>
      </c>
      <c r="F271" s="73"/>
      <c r="G271" s="73"/>
      <c r="H271" s="208">
        <f>G271/E271*100</f>
        <v>0</v>
      </c>
      <c r="I271" s="208" t="e">
        <f>G271/F271*100</f>
        <v>#DIV/0!</v>
      </c>
    </row>
    <row r="272" spans="1:9" x14ac:dyDescent="0.25">
      <c r="A272" s="22">
        <v>422</v>
      </c>
      <c r="B272" s="23"/>
      <c r="C272" s="24"/>
      <c r="D272" s="25" t="s">
        <v>50</v>
      </c>
      <c r="E272" s="74">
        <f t="shared" ref="E272:F272" si="112">SUM(E273:E278)</f>
        <v>3263.94</v>
      </c>
      <c r="F272" s="74">
        <f t="shared" si="112"/>
        <v>0</v>
      </c>
      <c r="G272" s="74">
        <f t="shared" ref="G272" si="113">SUM(G273:G278)</f>
        <v>0</v>
      </c>
      <c r="H272" s="185">
        <f>G272/E272*100</f>
        <v>0</v>
      </c>
      <c r="I272" s="185" t="e">
        <f>G272/F272*100</f>
        <v>#DIV/0!</v>
      </c>
    </row>
    <row r="273" spans="1:9" x14ac:dyDescent="0.25">
      <c r="A273" s="65">
        <v>4221</v>
      </c>
      <c r="B273" s="66"/>
      <c r="C273" s="67"/>
      <c r="D273" s="64" t="s">
        <v>90</v>
      </c>
      <c r="E273" s="75"/>
      <c r="F273" s="75"/>
      <c r="G273" s="75"/>
      <c r="H273" s="109"/>
      <c r="I273" s="109"/>
    </row>
    <row r="274" spans="1:9" x14ac:dyDescent="0.25">
      <c r="A274" s="65">
        <v>4222</v>
      </c>
      <c r="B274" s="66"/>
      <c r="C274" s="67"/>
      <c r="D274" s="64" t="s">
        <v>91</v>
      </c>
      <c r="E274" s="75"/>
      <c r="F274" s="75"/>
      <c r="G274" s="75"/>
      <c r="H274" s="109"/>
      <c r="I274" s="109"/>
    </row>
    <row r="275" spans="1:9" x14ac:dyDescent="0.25">
      <c r="A275" s="65">
        <v>4223</v>
      </c>
      <c r="B275" s="66"/>
      <c r="C275" s="67"/>
      <c r="D275" s="64" t="s">
        <v>92</v>
      </c>
      <c r="E275" s="75"/>
      <c r="F275" s="75"/>
      <c r="G275" s="75"/>
      <c r="H275" s="109"/>
      <c r="I275" s="109"/>
    </row>
    <row r="276" spans="1:9" x14ac:dyDescent="0.25">
      <c r="A276" s="65">
        <v>4225</v>
      </c>
      <c r="B276" s="66"/>
      <c r="C276" s="67"/>
      <c r="D276" s="64" t="s">
        <v>93</v>
      </c>
      <c r="E276" s="75"/>
      <c r="F276" s="75"/>
      <c r="G276" s="75"/>
      <c r="H276" s="109"/>
      <c r="I276" s="109"/>
    </row>
    <row r="277" spans="1:9" x14ac:dyDescent="0.25">
      <c r="A277" s="65">
        <v>4226</v>
      </c>
      <c r="B277" s="66"/>
      <c r="C277" s="67"/>
      <c r="D277" s="64" t="s">
        <v>94</v>
      </c>
      <c r="E277" s="75"/>
      <c r="F277" s="75"/>
      <c r="G277" s="75"/>
      <c r="H277" s="109"/>
      <c r="I277" s="109"/>
    </row>
    <row r="278" spans="1:9" ht="25.5" x14ac:dyDescent="0.25">
      <c r="A278" s="65">
        <v>4227</v>
      </c>
      <c r="B278" s="66"/>
      <c r="C278" s="67"/>
      <c r="D278" s="64" t="s">
        <v>95</v>
      </c>
      <c r="E278" s="75">
        <v>3263.94</v>
      </c>
      <c r="F278" s="75"/>
      <c r="G278" s="75"/>
      <c r="H278" s="109"/>
      <c r="I278" s="109"/>
    </row>
    <row r="279" spans="1:9" x14ac:dyDescent="0.25">
      <c r="A279" s="65"/>
      <c r="B279" s="66"/>
      <c r="C279" s="67"/>
      <c r="D279" s="111" t="s">
        <v>97</v>
      </c>
      <c r="E279" s="112">
        <f>E218+E271</f>
        <v>35444.560000000005</v>
      </c>
      <c r="F279" s="112">
        <f>F218</f>
        <v>29952.899999999998</v>
      </c>
      <c r="G279" s="112">
        <f>G218</f>
        <v>33282.090000000004</v>
      </c>
      <c r="H279" s="184">
        <f>G279/E279*100</f>
        <v>93.899007351198605</v>
      </c>
      <c r="I279" s="184">
        <f>G279/F279*100</f>
        <v>111.11475015774768</v>
      </c>
    </row>
    <row r="280" spans="1:9" ht="15" customHeight="1" x14ac:dyDescent="0.25">
      <c r="A280" s="65"/>
      <c r="B280" s="66"/>
      <c r="C280" s="67"/>
      <c r="D280" s="64"/>
      <c r="E280" s="75"/>
      <c r="F280" s="75"/>
      <c r="G280" s="75"/>
    </row>
    <row r="281" spans="1:9" ht="51" x14ac:dyDescent="0.25">
      <c r="A281" s="271" t="s">
        <v>25</v>
      </c>
      <c r="B281" s="272"/>
      <c r="C281" s="273"/>
      <c r="D281" s="13" t="s">
        <v>26</v>
      </c>
      <c r="E281" s="14" t="s">
        <v>188</v>
      </c>
      <c r="F281" s="14" t="s">
        <v>172</v>
      </c>
      <c r="G281" s="14" t="s">
        <v>189</v>
      </c>
      <c r="H281" s="14" t="s">
        <v>173</v>
      </c>
      <c r="I281" s="14" t="s">
        <v>173</v>
      </c>
    </row>
    <row r="282" spans="1:9" ht="15" customHeight="1" x14ac:dyDescent="0.25">
      <c r="A282" s="175"/>
      <c r="B282" s="173"/>
      <c r="C282" s="174"/>
      <c r="D282" s="167">
        <v>1</v>
      </c>
      <c r="E282" s="170">
        <v>2</v>
      </c>
      <c r="F282" s="171">
        <v>3</v>
      </c>
      <c r="G282" s="171">
        <v>4</v>
      </c>
      <c r="H282" s="170" t="s">
        <v>174</v>
      </c>
      <c r="I282" s="172" t="s">
        <v>175</v>
      </c>
    </row>
    <row r="283" spans="1:9" x14ac:dyDescent="0.25">
      <c r="A283" s="268" t="s">
        <v>170</v>
      </c>
      <c r="B283" s="269"/>
      <c r="C283" s="270"/>
      <c r="D283" s="133" t="s">
        <v>167</v>
      </c>
      <c r="E283" s="3"/>
      <c r="F283" s="3"/>
      <c r="G283" s="3"/>
      <c r="H283" s="109"/>
      <c r="I283" s="109"/>
    </row>
    <row r="284" spans="1:9" x14ac:dyDescent="0.25">
      <c r="A284" s="259">
        <v>44</v>
      </c>
      <c r="B284" s="260"/>
      <c r="C284" s="261"/>
      <c r="D284" s="134" t="s">
        <v>130</v>
      </c>
      <c r="E284" s="3"/>
      <c r="F284" s="3"/>
      <c r="G284" s="3"/>
      <c r="H284" s="109"/>
      <c r="I284" s="109"/>
    </row>
    <row r="285" spans="1:9" ht="24.75" customHeight="1" x14ac:dyDescent="0.25">
      <c r="A285" s="204">
        <v>4</v>
      </c>
      <c r="B285" s="205"/>
      <c r="C285" s="206"/>
      <c r="D285" s="200" t="s">
        <v>38</v>
      </c>
      <c r="E285" s="202">
        <f t="shared" ref="E285:G285" si="114">SUM(E286)</f>
        <v>0</v>
      </c>
      <c r="F285" s="202">
        <f>SUM(F286)</f>
        <v>11200</v>
      </c>
      <c r="G285" s="202">
        <f t="shared" si="114"/>
        <v>11151.25</v>
      </c>
      <c r="H285" s="207" t="e">
        <f>G285/E285*100</f>
        <v>#DIV/0!</v>
      </c>
      <c r="I285" s="207">
        <f>G285/F285*100</f>
        <v>99.564732142857139</v>
      </c>
    </row>
    <row r="286" spans="1:9" ht="28.5" customHeight="1" x14ac:dyDescent="0.25">
      <c r="A286" s="106">
        <v>42</v>
      </c>
      <c r="B286" s="107"/>
      <c r="C286" s="108"/>
      <c r="D286" s="26" t="s">
        <v>38</v>
      </c>
      <c r="E286" s="73"/>
      <c r="F286" s="73">
        <f>F287</f>
        <v>11200</v>
      </c>
      <c r="G286" s="73">
        <f>G287</f>
        <v>11151.25</v>
      </c>
      <c r="H286" s="208" t="e">
        <f>G286/E286*100</f>
        <v>#DIV/0!</v>
      </c>
      <c r="I286" s="208">
        <f>G286/F286*100</f>
        <v>99.564732142857139</v>
      </c>
    </row>
    <row r="287" spans="1:9" x14ac:dyDescent="0.25">
      <c r="A287" s="22">
        <v>421</v>
      </c>
      <c r="B287" s="23"/>
      <c r="C287" s="24"/>
      <c r="D287" s="25" t="s">
        <v>168</v>
      </c>
      <c r="E287" s="74"/>
      <c r="F287" s="74">
        <f>F288</f>
        <v>11200</v>
      </c>
      <c r="G287" s="74">
        <f>G288</f>
        <v>11151.25</v>
      </c>
      <c r="H287" s="185" t="e">
        <f>G287/E287*100</f>
        <v>#DIV/0!</v>
      </c>
      <c r="I287" s="185">
        <f>G287/F287*100</f>
        <v>99.564732142857139</v>
      </c>
    </row>
    <row r="288" spans="1:9" x14ac:dyDescent="0.25">
      <c r="A288" s="65">
        <v>4212</v>
      </c>
      <c r="B288" s="66"/>
      <c r="C288" s="67"/>
      <c r="D288" s="64" t="s">
        <v>169</v>
      </c>
      <c r="E288" s="75"/>
      <c r="F288" s="75">
        <v>11200</v>
      </c>
      <c r="G288" s="123">
        <v>11151.25</v>
      </c>
      <c r="H288" s="183" t="e">
        <f>G288/E288*100</f>
        <v>#DIV/0!</v>
      </c>
      <c r="I288" s="183">
        <f>G288/F288*100</f>
        <v>99.564732142857139</v>
      </c>
    </row>
    <row r="289" spans="1:9" x14ac:dyDescent="0.25">
      <c r="A289" s="65"/>
      <c r="B289" s="66"/>
      <c r="C289" s="67"/>
      <c r="D289" s="111" t="s">
        <v>97</v>
      </c>
      <c r="E289" s="112"/>
      <c r="F289" s="112">
        <v>11200</v>
      </c>
      <c r="G289" s="112">
        <f>G285</f>
        <v>11151.25</v>
      </c>
      <c r="H289" s="184" t="e">
        <f>G289/E289*100</f>
        <v>#DIV/0!</v>
      </c>
      <c r="I289" s="184">
        <f>G289/F289*100</f>
        <v>99.564732142857139</v>
      </c>
    </row>
    <row r="290" spans="1:9" x14ac:dyDescent="0.25">
      <c r="A290" s="65"/>
      <c r="B290" s="66"/>
      <c r="C290" s="67"/>
      <c r="D290" s="64"/>
      <c r="E290" s="75"/>
      <c r="F290" s="75"/>
      <c r="G290" s="75"/>
      <c r="H290" s="217"/>
      <c r="I290" s="217"/>
    </row>
    <row r="291" spans="1:9" ht="51" x14ac:dyDescent="0.25">
      <c r="A291" s="271" t="s">
        <v>25</v>
      </c>
      <c r="B291" s="272"/>
      <c r="C291" s="273"/>
      <c r="D291" s="13" t="s">
        <v>26</v>
      </c>
      <c r="E291" s="14" t="s">
        <v>188</v>
      </c>
      <c r="F291" s="14" t="s">
        <v>172</v>
      </c>
      <c r="G291" s="14" t="s">
        <v>189</v>
      </c>
      <c r="H291" s="14" t="s">
        <v>173</v>
      </c>
      <c r="I291" s="14" t="s">
        <v>173</v>
      </c>
    </row>
    <row r="292" spans="1:9" ht="15" customHeight="1" x14ac:dyDescent="0.25">
      <c r="A292" s="175"/>
      <c r="B292" s="173"/>
      <c r="C292" s="174"/>
      <c r="D292" s="167">
        <v>1</v>
      </c>
      <c r="E292" s="170">
        <v>2</v>
      </c>
      <c r="F292" s="171">
        <v>3</v>
      </c>
      <c r="G292" s="171">
        <v>4</v>
      </c>
      <c r="H292" s="170" t="s">
        <v>174</v>
      </c>
      <c r="I292" s="172" t="s">
        <v>175</v>
      </c>
    </row>
    <row r="293" spans="1:9" x14ac:dyDescent="0.25">
      <c r="A293" s="268" t="s">
        <v>192</v>
      </c>
      <c r="B293" s="269"/>
      <c r="C293" s="270"/>
      <c r="D293" s="213" t="s">
        <v>193</v>
      </c>
      <c r="E293" s="3"/>
      <c r="F293" s="3"/>
      <c r="G293" s="3"/>
      <c r="H293" s="109"/>
      <c r="I293" s="109"/>
    </row>
    <row r="294" spans="1:9" x14ac:dyDescent="0.25">
      <c r="A294" s="259">
        <v>51</v>
      </c>
      <c r="B294" s="260"/>
      <c r="C294" s="261"/>
      <c r="D294" s="214" t="s">
        <v>103</v>
      </c>
      <c r="E294" s="3"/>
      <c r="F294" s="3"/>
      <c r="G294" s="3"/>
      <c r="H294" s="109"/>
      <c r="I294" s="109"/>
    </row>
    <row r="295" spans="1:9" x14ac:dyDescent="0.25">
      <c r="A295" s="262">
        <v>3</v>
      </c>
      <c r="B295" s="263"/>
      <c r="C295" s="264"/>
      <c r="D295" s="215" t="s">
        <v>15</v>
      </c>
      <c r="E295" s="202">
        <f>E296</f>
        <v>243.21</v>
      </c>
      <c r="F295" s="202">
        <f t="shared" ref="F295:G295" ca="1" si="115">F296</f>
        <v>0</v>
      </c>
      <c r="G295" s="202">
        <f t="shared" ca="1" si="115"/>
        <v>0</v>
      </c>
      <c r="H295" s="207" t="e">
        <f ca="1">G295/E295*100</f>
        <v>#DIV/0!</v>
      </c>
      <c r="I295" s="207" t="e">
        <f ca="1">G295/F295*100</f>
        <v>#DIV/0!</v>
      </c>
    </row>
    <row r="296" spans="1:9" x14ac:dyDescent="0.25">
      <c r="A296" s="265">
        <v>32</v>
      </c>
      <c r="B296" s="266"/>
      <c r="C296" s="267"/>
      <c r="D296" s="26" t="s">
        <v>27</v>
      </c>
      <c r="E296" s="73">
        <f>E297+E302+E310</f>
        <v>243.21</v>
      </c>
      <c r="F296" s="73">
        <f t="shared" ref="F296:G296" ca="1" si="116">SUM(F297+F302+F310+F320+F322)</f>
        <v>0</v>
      </c>
      <c r="G296" s="73">
        <f t="shared" ca="1" si="116"/>
        <v>0</v>
      </c>
      <c r="H296" s="208" t="e">
        <f ca="1">G296/E296*100</f>
        <v>#DIV/0!</v>
      </c>
      <c r="I296" s="208" t="e">
        <f ca="1">G296/F296*100</f>
        <v>#DIV/0!</v>
      </c>
    </row>
    <row r="297" spans="1:9" x14ac:dyDescent="0.25">
      <c r="A297" s="22">
        <v>321</v>
      </c>
      <c r="B297" s="23"/>
      <c r="C297" s="24"/>
      <c r="D297" s="25" t="s">
        <v>42</v>
      </c>
      <c r="E297" s="74">
        <f t="shared" ref="E297:F297" si="117">SUM(E298:E301)</f>
        <v>0</v>
      </c>
      <c r="F297" s="74">
        <f t="shared" si="117"/>
        <v>0</v>
      </c>
      <c r="G297" s="74">
        <f t="shared" ref="G297" si="118">SUM(G298:G301)</f>
        <v>0</v>
      </c>
      <c r="H297" s="185" t="e">
        <f>G297/E297*100</f>
        <v>#DIV/0!</v>
      </c>
      <c r="I297" s="185" t="e">
        <f>G297/F297*100</f>
        <v>#DIV/0!</v>
      </c>
    </row>
    <row r="298" spans="1:9" x14ac:dyDescent="0.25">
      <c r="A298" s="65">
        <v>3211</v>
      </c>
      <c r="B298" s="66"/>
      <c r="C298" s="67"/>
      <c r="D298" s="64" t="s">
        <v>58</v>
      </c>
      <c r="E298" s="75"/>
      <c r="F298" s="75"/>
      <c r="G298" s="123"/>
      <c r="H298" s="209" t="e">
        <f>G298/E298*100</f>
        <v>#DIV/0!</v>
      </c>
      <c r="I298" s="209" t="e">
        <f>G298/F298*100</f>
        <v>#DIV/0!</v>
      </c>
    </row>
    <row r="299" spans="1:9" ht="25.5" x14ac:dyDescent="0.25">
      <c r="A299" s="65">
        <v>3212</v>
      </c>
      <c r="B299" s="66"/>
      <c r="C299" s="67"/>
      <c r="D299" s="64" t="s">
        <v>59</v>
      </c>
      <c r="E299" s="75"/>
      <c r="F299" s="75"/>
      <c r="G299" s="75"/>
      <c r="H299" s="109"/>
      <c r="I299" s="109"/>
    </row>
    <row r="300" spans="1:9" x14ac:dyDescent="0.25">
      <c r="A300" s="65">
        <v>3213</v>
      </c>
      <c r="B300" s="66"/>
      <c r="C300" s="67"/>
      <c r="D300" s="64" t="s">
        <v>60</v>
      </c>
      <c r="E300" s="75"/>
      <c r="F300" s="75"/>
      <c r="G300" s="123"/>
      <c r="H300" s="209" t="e">
        <f t="shared" ref="H300:H301" si="119">G300/E300*100</f>
        <v>#DIV/0!</v>
      </c>
      <c r="I300" s="209" t="e">
        <f t="shared" ref="I300:I301" si="120">G300/F300*100</f>
        <v>#DIV/0!</v>
      </c>
    </row>
    <row r="301" spans="1:9" ht="25.5" x14ac:dyDescent="0.25">
      <c r="A301" s="65">
        <v>3214</v>
      </c>
      <c r="B301" s="66"/>
      <c r="C301" s="67"/>
      <c r="D301" s="64" t="s">
        <v>61</v>
      </c>
      <c r="E301" s="75"/>
      <c r="F301" s="75"/>
      <c r="G301" s="123"/>
      <c r="H301" s="209" t="e">
        <f t="shared" si="119"/>
        <v>#DIV/0!</v>
      </c>
      <c r="I301" s="209" t="e">
        <f t="shared" si="120"/>
        <v>#DIV/0!</v>
      </c>
    </row>
    <row r="302" spans="1:9" x14ac:dyDescent="0.25">
      <c r="A302" s="22">
        <v>322</v>
      </c>
      <c r="B302" s="23"/>
      <c r="C302" s="24"/>
      <c r="D302" s="25" t="s">
        <v>43</v>
      </c>
      <c r="E302" s="74">
        <f t="shared" ref="E302:F302" si="121">SUM(E303:E309)</f>
        <v>0</v>
      </c>
      <c r="F302" s="74">
        <f t="shared" si="121"/>
        <v>0</v>
      </c>
      <c r="G302" s="74">
        <f t="shared" ref="G302" si="122">SUM(G303:G309)</f>
        <v>0</v>
      </c>
      <c r="H302" s="185" t="e">
        <f>G302/E302*100</f>
        <v>#DIV/0!</v>
      </c>
      <c r="I302" s="185" t="e">
        <f>G302/F302*100</f>
        <v>#DIV/0!</v>
      </c>
    </row>
    <row r="303" spans="1:9" ht="25.5" x14ac:dyDescent="0.25">
      <c r="A303" s="65">
        <v>3221</v>
      </c>
      <c r="B303" s="66"/>
      <c r="C303" s="67"/>
      <c r="D303" s="64" t="s">
        <v>62</v>
      </c>
      <c r="E303" s="75"/>
      <c r="F303" s="75"/>
      <c r="G303" s="123"/>
      <c r="H303" s="209" t="e">
        <f t="shared" ref="H303" si="123">G303/E303*100</f>
        <v>#DIV/0!</v>
      </c>
      <c r="I303" s="209" t="e">
        <f t="shared" ref="I303" si="124">G303/F303*100</f>
        <v>#DIV/0!</v>
      </c>
    </row>
    <row r="304" spans="1:9" x14ac:dyDescent="0.25">
      <c r="A304" s="65">
        <v>3222</v>
      </c>
      <c r="B304" s="66"/>
      <c r="C304" s="67"/>
      <c r="D304" s="64" t="s">
        <v>63</v>
      </c>
      <c r="E304" s="75"/>
      <c r="F304" s="75"/>
      <c r="G304" s="123"/>
      <c r="H304" s="209"/>
      <c r="I304" s="209"/>
    </row>
    <row r="305" spans="1:9" x14ac:dyDescent="0.25">
      <c r="A305" s="65">
        <v>3223</v>
      </c>
      <c r="B305" s="66"/>
      <c r="C305" s="67"/>
      <c r="D305" s="64" t="s">
        <v>64</v>
      </c>
      <c r="E305" s="75"/>
      <c r="F305" s="75"/>
      <c r="G305" s="123"/>
      <c r="H305" s="209" t="e">
        <f t="shared" ref="H305:H307" si="125">G305/E305*100</f>
        <v>#DIV/0!</v>
      </c>
      <c r="I305" s="209" t="e">
        <f t="shared" ref="I305:I307" si="126">G305/F305*100</f>
        <v>#DIV/0!</v>
      </c>
    </row>
    <row r="306" spans="1:9" ht="25.5" x14ac:dyDescent="0.25">
      <c r="A306" s="65">
        <v>3224</v>
      </c>
      <c r="B306" s="66"/>
      <c r="C306" s="67"/>
      <c r="D306" s="64" t="s">
        <v>65</v>
      </c>
      <c r="E306" s="75"/>
      <c r="F306" s="75"/>
      <c r="G306" s="123"/>
      <c r="H306" s="209" t="e">
        <f t="shared" si="125"/>
        <v>#DIV/0!</v>
      </c>
      <c r="I306" s="209" t="e">
        <f t="shared" si="126"/>
        <v>#DIV/0!</v>
      </c>
    </row>
    <row r="307" spans="1:9" x14ac:dyDescent="0.25">
      <c r="A307" s="65">
        <v>3225</v>
      </c>
      <c r="B307" s="66"/>
      <c r="C307" s="67"/>
      <c r="D307" s="64" t="s">
        <v>66</v>
      </c>
      <c r="E307" s="75"/>
      <c r="F307" s="75"/>
      <c r="G307" s="123"/>
      <c r="H307" s="209" t="e">
        <f t="shared" si="125"/>
        <v>#DIV/0!</v>
      </c>
      <c r="I307" s="209" t="e">
        <f t="shared" si="126"/>
        <v>#DIV/0!</v>
      </c>
    </row>
    <row r="308" spans="1:9" ht="25.5" x14ac:dyDescent="0.25">
      <c r="A308" s="65">
        <v>3226</v>
      </c>
      <c r="B308" s="66"/>
      <c r="C308" s="67"/>
      <c r="D308" s="64" t="s">
        <v>67</v>
      </c>
      <c r="E308" s="75"/>
      <c r="F308" s="75"/>
      <c r="G308" s="123"/>
      <c r="H308" s="209"/>
      <c r="I308" s="209"/>
    </row>
    <row r="309" spans="1:9" ht="25.5" x14ac:dyDescent="0.25">
      <c r="A309" s="65">
        <v>3227</v>
      </c>
      <c r="B309" s="66"/>
      <c r="C309" s="67"/>
      <c r="D309" s="64" t="s">
        <v>68</v>
      </c>
      <c r="E309" s="75"/>
      <c r="F309" s="75"/>
      <c r="G309" s="123"/>
      <c r="H309" s="209" t="e">
        <f t="shared" ref="H309" si="127">G309/E309*100</f>
        <v>#DIV/0!</v>
      </c>
      <c r="I309" s="209" t="e">
        <f t="shared" ref="I309" si="128">G309/F309*100</f>
        <v>#DIV/0!</v>
      </c>
    </row>
    <row r="310" spans="1:9" x14ac:dyDescent="0.25">
      <c r="A310" s="22">
        <v>323</v>
      </c>
      <c r="B310" s="23"/>
      <c r="C310" s="24"/>
      <c r="D310" s="25" t="s">
        <v>44</v>
      </c>
      <c r="E310" s="74">
        <f t="shared" ref="E310:F310" si="129">SUM(E311:E319)</f>
        <v>243.21</v>
      </c>
      <c r="F310" s="74">
        <f t="shared" si="129"/>
        <v>0</v>
      </c>
      <c r="G310" s="74">
        <f t="shared" ref="G310" si="130">SUM(G311:G319)</f>
        <v>0</v>
      </c>
      <c r="H310" s="185">
        <f>G310/E310*100</f>
        <v>0</v>
      </c>
      <c r="I310" s="185" t="e">
        <f>G310/F310*100</f>
        <v>#DIV/0!</v>
      </c>
    </row>
    <row r="311" spans="1:9" x14ac:dyDescent="0.25">
      <c r="A311" s="65">
        <v>3231</v>
      </c>
      <c r="B311" s="66"/>
      <c r="C311" s="67"/>
      <c r="D311" s="64" t="s">
        <v>69</v>
      </c>
      <c r="E311" s="75"/>
      <c r="F311" s="75"/>
      <c r="G311" s="123"/>
      <c r="H311" s="209" t="e">
        <f t="shared" ref="H311:H314" si="131">G311/E311*100</f>
        <v>#DIV/0!</v>
      </c>
      <c r="I311" s="209" t="e">
        <f t="shared" ref="I311:I314" si="132">G311/F311*100</f>
        <v>#DIV/0!</v>
      </c>
    </row>
    <row r="312" spans="1:9" ht="25.5" x14ac:dyDescent="0.25">
      <c r="A312" s="65">
        <v>3232</v>
      </c>
      <c r="B312" s="66"/>
      <c r="C312" s="67"/>
      <c r="D312" s="64" t="s">
        <v>70</v>
      </c>
      <c r="E312" s="75"/>
      <c r="F312" s="75"/>
      <c r="G312" s="123"/>
      <c r="H312" s="209" t="e">
        <f t="shared" si="131"/>
        <v>#DIV/0!</v>
      </c>
      <c r="I312" s="209" t="e">
        <f t="shared" si="132"/>
        <v>#DIV/0!</v>
      </c>
    </row>
    <row r="313" spans="1:9" x14ac:dyDescent="0.25">
      <c r="A313" s="65">
        <v>3233</v>
      </c>
      <c r="B313" s="66"/>
      <c r="C313" s="67"/>
      <c r="D313" s="64" t="s">
        <v>71</v>
      </c>
      <c r="E313" s="75"/>
      <c r="F313" s="75"/>
      <c r="G313" s="123"/>
      <c r="H313" s="209" t="e">
        <f t="shared" si="131"/>
        <v>#DIV/0!</v>
      </c>
      <c r="I313" s="209" t="e">
        <f t="shared" si="132"/>
        <v>#DIV/0!</v>
      </c>
    </row>
    <row r="314" spans="1:9" x14ac:dyDescent="0.25">
      <c r="A314" s="65">
        <v>3234</v>
      </c>
      <c r="B314" s="66"/>
      <c r="C314" s="67"/>
      <c r="D314" s="64" t="s">
        <v>72</v>
      </c>
      <c r="E314" s="75"/>
      <c r="F314" s="75"/>
      <c r="G314" s="123"/>
      <c r="H314" s="209" t="e">
        <f t="shared" si="131"/>
        <v>#DIV/0!</v>
      </c>
      <c r="I314" s="209" t="e">
        <f t="shared" si="132"/>
        <v>#DIV/0!</v>
      </c>
    </row>
    <row r="315" spans="1:9" x14ac:dyDescent="0.25">
      <c r="A315" s="65">
        <v>3235</v>
      </c>
      <c r="B315" s="66"/>
      <c r="C315" s="67"/>
      <c r="D315" s="64" t="s">
        <v>73</v>
      </c>
      <c r="E315" s="75"/>
      <c r="F315" s="75"/>
      <c r="G315" s="123"/>
      <c r="H315" s="209"/>
      <c r="I315" s="209"/>
    </row>
    <row r="316" spans="1:9" x14ac:dyDescent="0.25">
      <c r="A316" s="65">
        <v>3236</v>
      </c>
      <c r="B316" s="66"/>
      <c r="C316" s="67"/>
      <c r="D316" s="64" t="s">
        <v>74</v>
      </c>
      <c r="E316" s="75"/>
      <c r="F316" s="75"/>
      <c r="G316" s="123"/>
      <c r="H316" s="209" t="e">
        <f t="shared" ref="H316" si="133">G316/E316*100</f>
        <v>#DIV/0!</v>
      </c>
      <c r="I316" s="209" t="e">
        <f t="shared" ref="I316" si="134">G316/F316*100</f>
        <v>#DIV/0!</v>
      </c>
    </row>
    <row r="317" spans="1:9" x14ac:dyDescent="0.25">
      <c r="A317" s="65">
        <v>3237</v>
      </c>
      <c r="B317" s="66"/>
      <c r="C317" s="67"/>
      <c r="D317" s="64" t="s">
        <v>75</v>
      </c>
      <c r="E317" s="75"/>
      <c r="F317" s="75"/>
      <c r="G317" s="123"/>
      <c r="H317" s="209"/>
      <c r="I317" s="209"/>
    </row>
    <row r="318" spans="1:9" x14ac:dyDescent="0.25">
      <c r="A318" s="65">
        <v>3238</v>
      </c>
      <c r="B318" s="66"/>
      <c r="C318" s="67"/>
      <c r="D318" s="64" t="s">
        <v>76</v>
      </c>
      <c r="E318" s="75"/>
      <c r="F318" s="75"/>
      <c r="G318" s="123"/>
      <c r="H318" s="209" t="e">
        <f t="shared" ref="H318:H319" si="135">G318/E318*100</f>
        <v>#DIV/0!</v>
      </c>
      <c r="I318" s="209" t="e">
        <f t="shared" ref="I318:I319" si="136">G318/F318*100</f>
        <v>#DIV/0!</v>
      </c>
    </row>
    <row r="319" spans="1:9" x14ac:dyDescent="0.25">
      <c r="A319" s="65">
        <v>3239</v>
      </c>
      <c r="B319" s="66"/>
      <c r="C319" s="67"/>
      <c r="D319" s="64" t="s">
        <v>77</v>
      </c>
      <c r="E319" s="75">
        <v>243.21</v>
      </c>
      <c r="F319" s="75"/>
      <c r="G319" s="123"/>
      <c r="H319" s="209">
        <f t="shared" si="135"/>
        <v>0</v>
      </c>
      <c r="I319" s="209" t="e">
        <f t="shared" si="136"/>
        <v>#DIV/0!</v>
      </c>
    </row>
    <row r="320" spans="1:9" x14ac:dyDescent="0.25">
      <c r="A320" s="65"/>
      <c r="B320" s="66"/>
      <c r="C320" s="67"/>
      <c r="D320" s="111" t="s">
        <v>97</v>
      </c>
      <c r="E320" s="112">
        <f>E295</f>
        <v>243.21</v>
      </c>
      <c r="F320" s="112">
        <f t="shared" ref="F320:G320" ca="1" si="137">F295</f>
        <v>0</v>
      </c>
      <c r="G320" s="112">
        <f t="shared" ca="1" si="137"/>
        <v>0</v>
      </c>
      <c r="H320" s="184" t="e">
        <f ca="1">G320/E320*100</f>
        <v>#DIV/0!</v>
      </c>
      <c r="I320" s="184" t="e">
        <f ca="1">G320/F320*100</f>
        <v>#DIV/0!</v>
      </c>
    </row>
    <row r="321" spans="1:9" x14ac:dyDescent="0.25">
      <c r="A321" s="65"/>
      <c r="B321" s="66"/>
      <c r="C321" s="67"/>
      <c r="D321" s="64"/>
      <c r="E321" s="3"/>
      <c r="F321" s="3"/>
      <c r="G321" s="3"/>
      <c r="H321" s="109"/>
      <c r="I321" s="109"/>
    </row>
    <row r="322" spans="1:9" ht="15" customHeight="1" x14ac:dyDescent="0.25">
      <c r="A322" s="65"/>
      <c r="B322" s="66"/>
      <c r="C322" s="67"/>
      <c r="D322" s="64"/>
      <c r="E322" s="75"/>
      <c r="F322" s="75"/>
      <c r="G322" s="75"/>
    </row>
    <row r="323" spans="1:9" ht="51" x14ac:dyDescent="0.25">
      <c r="A323" s="271" t="s">
        <v>25</v>
      </c>
      <c r="B323" s="272"/>
      <c r="C323" s="273"/>
      <c r="D323" s="13" t="s">
        <v>26</v>
      </c>
      <c r="E323" s="14" t="s">
        <v>188</v>
      </c>
      <c r="F323" s="14" t="s">
        <v>172</v>
      </c>
      <c r="G323" s="14" t="s">
        <v>189</v>
      </c>
      <c r="H323" s="14" t="s">
        <v>173</v>
      </c>
      <c r="I323" s="14" t="s">
        <v>173</v>
      </c>
    </row>
    <row r="324" spans="1:9" ht="15" customHeight="1" x14ac:dyDescent="0.25">
      <c r="A324" s="175"/>
      <c r="B324" s="173"/>
      <c r="C324" s="174"/>
      <c r="D324" s="167">
        <v>1</v>
      </c>
      <c r="E324" s="170">
        <v>2</v>
      </c>
      <c r="F324" s="171">
        <v>3</v>
      </c>
      <c r="G324" s="171">
        <v>4</v>
      </c>
      <c r="H324" s="170" t="s">
        <v>174</v>
      </c>
      <c r="I324" s="172" t="s">
        <v>175</v>
      </c>
    </row>
    <row r="325" spans="1:9" ht="25.5" x14ac:dyDescent="0.25">
      <c r="A325" s="268" t="s">
        <v>158</v>
      </c>
      <c r="B325" s="269"/>
      <c r="C325" s="270"/>
      <c r="D325" s="104" t="s">
        <v>159</v>
      </c>
      <c r="E325" s="3"/>
      <c r="F325" s="3"/>
      <c r="G325" s="3"/>
      <c r="H325" s="109"/>
      <c r="I325" s="109"/>
    </row>
    <row r="326" spans="1:9" x14ac:dyDescent="0.25">
      <c r="A326" s="259">
        <v>51</v>
      </c>
      <c r="B326" s="260"/>
      <c r="C326" s="261"/>
      <c r="D326" s="105" t="s">
        <v>103</v>
      </c>
      <c r="E326" s="3"/>
      <c r="F326" s="3"/>
      <c r="G326" s="3"/>
      <c r="H326" s="109"/>
      <c r="I326" s="109"/>
    </row>
    <row r="327" spans="1:9" x14ac:dyDescent="0.25">
      <c r="A327" s="262">
        <v>3</v>
      </c>
      <c r="B327" s="263"/>
      <c r="C327" s="264"/>
      <c r="D327" s="200" t="s">
        <v>15</v>
      </c>
      <c r="E327" s="202">
        <f>SUM(E328+E337)</f>
        <v>0</v>
      </c>
      <c r="F327" s="202">
        <f>SUM(F328+F337)</f>
        <v>4757.3099999999995</v>
      </c>
      <c r="G327" s="202">
        <f>SUM(G328+G337)</f>
        <v>3632.05</v>
      </c>
      <c r="H327" s="207" t="e">
        <f>G327/E327*100</f>
        <v>#DIV/0!</v>
      </c>
      <c r="I327" s="207">
        <f>G327/F327*100</f>
        <v>76.346716947182344</v>
      </c>
    </row>
    <row r="328" spans="1:9" x14ac:dyDescent="0.25">
      <c r="A328" s="265">
        <v>31</v>
      </c>
      <c r="B328" s="266"/>
      <c r="C328" s="267"/>
      <c r="D328" s="26" t="s">
        <v>16</v>
      </c>
      <c r="E328" s="73">
        <f t="shared" ref="E328:F328" si="138">SUM(E329+E333+E335)</f>
        <v>0</v>
      </c>
      <c r="F328" s="73">
        <f t="shared" si="138"/>
        <v>4648.53</v>
      </c>
      <c r="G328" s="73">
        <f t="shared" ref="G328" si="139">SUM(G329+G333+G335)</f>
        <v>3541.32</v>
      </c>
      <c r="H328" s="208" t="e">
        <f>G328/E328*100</f>
        <v>#DIV/0!</v>
      </c>
      <c r="I328" s="208">
        <f>G328/F328*100</f>
        <v>76.181502539512508</v>
      </c>
    </row>
    <row r="329" spans="1:9" x14ac:dyDescent="0.25">
      <c r="A329" s="22">
        <v>311</v>
      </c>
      <c r="B329" s="23"/>
      <c r="C329" s="24"/>
      <c r="D329" s="25" t="s">
        <v>40</v>
      </c>
      <c r="E329" s="74">
        <f t="shared" ref="E329:F329" si="140">SUM(E330:E332)</f>
        <v>0</v>
      </c>
      <c r="F329" s="74">
        <f t="shared" si="140"/>
        <v>3758.3999999999996</v>
      </c>
      <c r="G329" s="74">
        <f t="shared" ref="G329" si="141">SUM(G330:G332)</f>
        <v>2808</v>
      </c>
      <c r="H329" s="185" t="e">
        <f>G329/E329*100</f>
        <v>#DIV/0!</v>
      </c>
      <c r="I329" s="185">
        <f>G329/F329*100</f>
        <v>74.71264367816093</v>
      </c>
    </row>
    <row r="330" spans="1:9" x14ac:dyDescent="0.25">
      <c r="A330" s="65">
        <v>3111</v>
      </c>
      <c r="B330" s="66"/>
      <c r="C330" s="67"/>
      <c r="D330" s="64" t="s">
        <v>52</v>
      </c>
      <c r="E330" s="75"/>
      <c r="F330" s="75">
        <f>1900.8+1857.6</f>
        <v>3758.3999999999996</v>
      </c>
      <c r="G330" s="123">
        <v>2808</v>
      </c>
      <c r="H330" s="183" t="e">
        <f>G330/E330*100</f>
        <v>#DIV/0!</v>
      </c>
      <c r="I330" s="183">
        <f>G330/F330*100</f>
        <v>74.71264367816093</v>
      </c>
    </row>
    <row r="331" spans="1:9" x14ac:dyDescent="0.25">
      <c r="A331" s="65">
        <v>3113</v>
      </c>
      <c r="B331" s="66"/>
      <c r="C331" s="67"/>
      <c r="D331" s="64" t="s">
        <v>53</v>
      </c>
      <c r="E331" s="75"/>
      <c r="F331" s="75"/>
      <c r="G331" s="75"/>
      <c r="H331" s="109"/>
      <c r="I331" s="109"/>
    </row>
    <row r="332" spans="1:9" x14ac:dyDescent="0.25">
      <c r="A332" s="65">
        <v>3114</v>
      </c>
      <c r="B332" s="66"/>
      <c r="C332" s="67"/>
      <c r="D332" s="64" t="s">
        <v>54</v>
      </c>
      <c r="E332" s="75"/>
      <c r="F332" s="75"/>
      <c r="G332" s="75"/>
      <c r="H332" s="109"/>
      <c r="I332" s="109"/>
    </row>
    <row r="333" spans="1:9" x14ac:dyDescent="0.25">
      <c r="A333" s="22">
        <v>312</v>
      </c>
      <c r="B333" s="23"/>
      <c r="C333" s="24"/>
      <c r="D333" s="25" t="s">
        <v>55</v>
      </c>
      <c r="E333" s="74">
        <f t="shared" ref="E333:G333" si="142">SUM(E334)</f>
        <v>0</v>
      </c>
      <c r="F333" s="74">
        <f t="shared" si="142"/>
        <v>270</v>
      </c>
      <c r="G333" s="74">
        <f t="shared" si="142"/>
        <v>270</v>
      </c>
      <c r="H333" s="185" t="e">
        <f t="shared" ref="H333:H340" si="143">G333/E333*100</f>
        <v>#DIV/0!</v>
      </c>
      <c r="I333" s="185">
        <f t="shared" ref="I333:I340" si="144">G333/F333*100</f>
        <v>100</v>
      </c>
    </row>
    <row r="334" spans="1:9" x14ac:dyDescent="0.25">
      <c r="A334" s="65">
        <v>3121</v>
      </c>
      <c r="B334" s="66"/>
      <c r="C334" s="67"/>
      <c r="D334" s="64" t="s">
        <v>56</v>
      </c>
      <c r="E334" s="75"/>
      <c r="F334" s="75">
        <v>270</v>
      </c>
      <c r="G334" s="123">
        <f>F334-E334</f>
        <v>270</v>
      </c>
      <c r="H334" s="183" t="e">
        <f t="shared" si="143"/>
        <v>#DIV/0!</v>
      </c>
      <c r="I334" s="183">
        <f t="shared" si="144"/>
        <v>100</v>
      </c>
    </row>
    <row r="335" spans="1:9" x14ac:dyDescent="0.25">
      <c r="A335" s="22">
        <v>313</v>
      </c>
      <c r="B335" s="23"/>
      <c r="C335" s="24"/>
      <c r="D335" s="25" t="s">
        <v>41</v>
      </c>
      <c r="E335" s="74">
        <f t="shared" ref="E335:F335" si="145">SUM(E336:E336)</f>
        <v>0</v>
      </c>
      <c r="F335" s="74">
        <f t="shared" si="145"/>
        <v>620.13</v>
      </c>
      <c r="G335" s="74">
        <f>SUM(G336:G336)</f>
        <v>463.32</v>
      </c>
      <c r="H335" s="185" t="e">
        <f t="shared" si="143"/>
        <v>#DIV/0!</v>
      </c>
      <c r="I335" s="185">
        <f t="shared" si="144"/>
        <v>74.713366552174548</v>
      </c>
    </row>
    <row r="336" spans="1:9" ht="25.5" x14ac:dyDescent="0.25">
      <c r="A336" s="65">
        <v>3132</v>
      </c>
      <c r="B336" s="66"/>
      <c r="C336" s="67"/>
      <c r="D336" s="64" t="s">
        <v>57</v>
      </c>
      <c r="E336" s="75"/>
      <c r="F336" s="75">
        <f>313.63+306.5</f>
        <v>620.13</v>
      </c>
      <c r="G336" s="123">
        <v>463.32</v>
      </c>
      <c r="H336" s="183" t="e">
        <f t="shared" si="143"/>
        <v>#DIV/0!</v>
      </c>
      <c r="I336" s="183">
        <f t="shared" si="144"/>
        <v>74.713366552174548</v>
      </c>
    </row>
    <row r="337" spans="1:9" x14ac:dyDescent="0.25">
      <c r="A337" s="265">
        <v>32</v>
      </c>
      <c r="B337" s="266"/>
      <c r="C337" s="267"/>
      <c r="D337" s="26" t="s">
        <v>27</v>
      </c>
      <c r="E337" s="73">
        <f t="shared" ref="E337" si="146">E338</f>
        <v>0</v>
      </c>
      <c r="F337" s="73">
        <f t="shared" ref="F337:G337" si="147">F338</f>
        <v>108.78</v>
      </c>
      <c r="G337" s="73">
        <f t="shared" si="147"/>
        <v>90.72999999999999</v>
      </c>
      <c r="H337" s="208" t="e">
        <f t="shared" si="143"/>
        <v>#DIV/0!</v>
      </c>
      <c r="I337" s="208">
        <f t="shared" si="144"/>
        <v>83.406876264019118</v>
      </c>
    </row>
    <row r="338" spans="1:9" x14ac:dyDescent="0.25">
      <c r="A338" s="22">
        <v>321</v>
      </c>
      <c r="B338" s="23"/>
      <c r="C338" s="24"/>
      <c r="D338" s="25" t="s">
        <v>42</v>
      </c>
      <c r="E338" s="74">
        <f t="shared" ref="E338:F338" si="148">SUM(E339:E342)</f>
        <v>0</v>
      </c>
      <c r="F338" s="74">
        <f t="shared" si="148"/>
        <v>108.78</v>
      </c>
      <c r="G338" s="74">
        <f t="shared" ref="G338" si="149">SUM(G339:G342)</f>
        <v>90.72999999999999</v>
      </c>
      <c r="H338" s="185" t="e">
        <f t="shared" si="143"/>
        <v>#DIV/0!</v>
      </c>
      <c r="I338" s="185">
        <f t="shared" si="144"/>
        <v>83.406876264019118</v>
      </c>
    </row>
    <row r="339" spans="1:9" x14ac:dyDescent="0.25">
      <c r="A339" s="65">
        <v>3211</v>
      </c>
      <c r="B339" s="66"/>
      <c r="C339" s="67"/>
      <c r="D339" s="64" t="s">
        <v>58</v>
      </c>
      <c r="E339" s="75"/>
      <c r="F339" s="75">
        <v>27</v>
      </c>
      <c r="G339" s="123">
        <f t="shared" ref="G339" si="150">F339-E339</f>
        <v>27</v>
      </c>
      <c r="H339" s="183" t="e">
        <f t="shared" si="143"/>
        <v>#DIV/0!</v>
      </c>
      <c r="I339" s="183">
        <f t="shared" si="144"/>
        <v>100</v>
      </c>
    </row>
    <row r="340" spans="1:9" ht="25.5" x14ac:dyDescent="0.25">
      <c r="A340" s="65">
        <v>3212</v>
      </c>
      <c r="B340" s="66"/>
      <c r="C340" s="67"/>
      <c r="D340" s="64" t="s">
        <v>126</v>
      </c>
      <c r="E340" s="75"/>
      <c r="F340" s="75">
        <f>43.55+38.23</f>
        <v>81.78</v>
      </c>
      <c r="G340" s="123">
        <v>63.73</v>
      </c>
      <c r="H340" s="183" t="e">
        <f t="shared" si="143"/>
        <v>#DIV/0!</v>
      </c>
      <c r="I340" s="183">
        <f t="shared" si="144"/>
        <v>77.928588897040839</v>
      </c>
    </row>
    <row r="341" spans="1:9" x14ac:dyDescent="0.25">
      <c r="A341" s="65">
        <v>3213</v>
      </c>
      <c r="B341" s="66"/>
      <c r="C341" s="67"/>
      <c r="D341" s="64" t="s">
        <v>60</v>
      </c>
      <c r="E341" s="75"/>
      <c r="F341" s="75"/>
      <c r="G341" s="75"/>
      <c r="H341" s="109"/>
      <c r="I341" s="109"/>
    </row>
    <row r="342" spans="1:9" ht="25.5" x14ac:dyDescent="0.25">
      <c r="A342" s="65">
        <v>3214</v>
      </c>
      <c r="B342" s="66"/>
      <c r="C342" s="67"/>
      <c r="D342" s="64" t="s">
        <v>61</v>
      </c>
      <c r="E342" s="75"/>
      <c r="F342" s="75"/>
      <c r="G342" s="75"/>
      <c r="H342" s="109"/>
      <c r="I342" s="109"/>
    </row>
    <row r="343" spans="1:9" x14ac:dyDescent="0.25">
      <c r="A343" s="65"/>
      <c r="B343" s="66"/>
      <c r="C343" s="67"/>
      <c r="D343" s="111" t="s">
        <v>97</v>
      </c>
      <c r="E343" s="112">
        <f t="shared" ref="E343:F343" si="151">SUM(E327)</f>
        <v>0</v>
      </c>
      <c r="F343" s="112">
        <f t="shared" si="151"/>
        <v>4757.3099999999995</v>
      </c>
      <c r="G343" s="112">
        <f>SUM(G327)</f>
        <v>3632.05</v>
      </c>
      <c r="H343" s="184" t="e">
        <f>G343/E343*100</f>
        <v>#DIV/0!</v>
      </c>
      <c r="I343" s="184">
        <f>G343/F343*100</f>
        <v>76.346716947182344</v>
      </c>
    </row>
    <row r="344" spans="1:9" x14ac:dyDescent="0.25">
      <c r="A344" s="65"/>
      <c r="B344" s="66"/>
      <c r="C344" s="67"/>
      <c r="D344" s="64"/>
      <c r="E344" s="3"/>
      <c r="F344" s="3"/>
      <c r="G344" s="3"/>
      <c r="H344" s="109"/>
      <c r="I344" s="109"/>
    </row>
    <row r="345" spans="1:9" ht="15" customHeight="1" x14ac:dyDescent="0.25">
      <c r="A345" s="65"/>
      <c r="B345" s="66"/>
      <c r="C345" s="67"/>
      <c r="D345" s="64"/>
      <c r="E345" s="3"/>
      <c r="F345" s="3"/>
      <c r="G345" s="3"/>
    </row>
    <row r="346" spans="1:9" ht="51" x14ac:dyDescent="0.25">
      <c r="A346" s="271" t="s">
        <v>25</v>
      </c>
      <c r="B346" s="272"/>
      <c r="C346" s="273"/>
      <c r="D346" s="13" t="s">
        <v>26</v>
      </c>
      <c r="E346" s="14" t="s">
        <v>188</v>
      </c>
      <c r="F346" s="14" t="s">
        <v>172</v>
      </c>
      <c r="G346" s="14" t="s">
        <v>189</v>
      </c>
      <c r="H346" s="14" t="s">
        <v>173</v>
      </c>
      <c r="I346" s="14" t="s">
        <v>173</v>
      </c>
    </row>
    <row r="347" spans="1:9" ht="15" customHeight="1" x14ac:dyDescent="0.25">
      <c r="A347" s="175"/>
      <c r="B347" s="173"/>
      <c r="C347" s="174"/>
      <c r="D347" s="167">
        <v>1</v>
      </c>
      <c r="E347" s="170">
        <v>2</v>
      </c>
      <c r="F347" s="171">
        <v>3</v>
      </c>
      <c r="G347" s="171">
        <v>4</v>
      </c>
      <c r="H347" s="170" t="s">
        <v>174</v>
      </c>
      <c r="I347" s="172" t="s">
        <v>175</v>
      </c>
    </row>
    <row r="348" spans="1:9" x14ac:dyDescent="0.25">
      <c r="A348" s="268" t="s">
        <v>127</v>
      </c>
      <c r="B348" s="269"/>
      <c r="C348" s="270"/>
      <c r="D348" s="88" t="s">
        <v>132</v>
      </c>
      <c r="E348" s="3"/>
      <c r="F348" s="3"/>
      <c r="G348" s="3"/>
      <c r="H348" s="109"/>
      <c r="I348" s="109"/>
    </row>
    <row r="349" spans="1:9" x14ac:dyDescent="0.25">
      <c r="A349" s="259">
        <v>52</v>
      </c>
      <c r="B349" s="260"/>
      <c r="C349" s="261"/>
      <c r="D349" s="69" t="s">
        <v>36</v>
      </c>
      <c r="E349" s="3"/>
      <c r="F349" s="3"/>
      <c r="G349" s="3"/>
      <c r="H349" s="109"/>
      <c r="I349" s="109"/>
    </row>
    <row r="350" spans="1:9" ht="15" customHeight="1" x14ac:dyDescent="0.25">
      <c r="A350" s="262">
        <v>3</v>
      </c>
      <c r="B350" s="263"/>
      <c r="C350" s="264"/>
      <c r="D350" s="200" t="s">
        <v>15</v>
      </c>
      <c r="E350" s="202">
        <f>SUM(E351+E360+E393+E397)</f>
        <v>568680.40999999992</v>
      </c>
      <c r="F350" s="202">
        <f>SUM(F351+F360+F393+F397)</f>
        <v>731188.8600000001</v>
      </c>
      <c r="G350" s="202">
        <f>SUM(G351+G360+G393+G397)</f>
        <v>713012.03999999992</v>
      </c>
      <c r="H350" s="207">
        <f>G350/E350*100</f>
        <v>125.3800952981658</v>
      </c>
      <c r="I350" s="207">
        <f>G350/F350*100</f>
        <v>97.514073176661881</v>
      </c>
    </row>
    <row r="351" spans="1:9" x14ac:dyDescent="0.25">
      <c r="A351" s="265">
        <v>31</v>
      </c>
      <c r="B351" s="266"/>
      <c r="C351" s="267"/>
      <c r="D351" s="26" t="s">
        <v>16</v>
      </c>
      <c r="E351" s="73">
        <f>SUM(E352+E356+E358)</f>
        <v>522421.38</v>
      </c>
      <c r="F351" s="73">
        <f t="shared" ref="F351" si="152">SUM(F352+F356+F358)</f>
        <v>681575</v>
      </c>
      <c r="G351" s="73">
        <f t="shared" ref="G351" si="153">SUM(G352+G356+G358)</f>
        <v>664507.32999999984</v>
      </c>
      <c r="H351" s="208">
        <f>G351/E351*100</f>
        <v>127.19757564286512</v>
      </c>
      <c r="I351" s="208">
        <f>G351/F351*100</f>
        <v>97.495848585995645</v>
      </c>
    </row>
    <row r="352" spans="1:9" x14ac:dyDescent="0.25">
      <c r="A352" s="22">
        <v>311</v>
      </c>
      <c r="B352" s="23"/>
      <c r="C352" s="24"/>
      <c r="D352" s="25" t="s">
        <v>40</v>
      </c>
      <c r="E352" s="74">
        <f t="shared" ref="E352:F352" si="154">SUM(E353:E355)</f>
        <v>431113.08</v>
      </c>
      <c r="F352" s="74">
        <f t="shared" si="154"/>
        <v>570020</v>
      </c>
      <c r="G352" s="74">
        <f t="shared" ref="G352" si="155">SUM(G353:G355)</f>
        <v>553281.94999999995</v>
      </c>
      <c r="H352" s="185">
        <f>G352/E352*100</f>
        <v>128.33801052846735</v>
      </c>
      <c r="I352" s="185">
        <f>G352/F352*100</f>
        <v>97.063603031472567</v>
      </c>
    </row>
    <row r="353" spans="1:9" x14ac:dyDescent="0.25">
      <c r="A353" s="65">
        <v>3111</v>
      </c>
      <c r="B353" s="66"/>
      <c r="C353" s="67"/>
      <c r="D353" s="64" t="s">
        <v>52</v>
      </c>
      <c r="E353" s="75">
        <v>431113.08</v>
      </c>
      <c r="F353" s="75">
        <f>622520-4000-48500</f>
        <v>570020</v>
      </c>
      <c r="G353" s="123">
        <v>553281.94999999995</v>
      </c>
      <c r="H353" s="183">
        <f>G353/E353*100</f>
        <v>128.33801052846735</v>
      </c>
      <c r="I353" s="183">
        <f>G353/F353*100</f>
        <v>97.063603031472567</v>
      </c>
    </row>
    <row r="354" spans="1:9" x14ac:dyDescent="0.25">
      <c r="A354" s="65">
        <v>3113</v>
      </c>
      <c r="B354" s="66"/>
      <c r="C354" s="67"/>
      <c r="D354" s="64" t="s">
        <v>53</v>
      </c>
      <c r="E354" s="75"/>
      <c r="F354" s="75"/>
      <c r="G354" s="75"/>
      <c r="H354" s="109"/>
      <c r="I354" s="109"/>
    </row>
    <row r="355" spans="1:9" x14ac:dyDescent="0.25">
      <c r="A355" s="65">
        <v>3114</v>
      </c>
      <c r="B355" s="66"/>
      <c r="C355" s="67"/>
      <c r="D355" s="64" t="s">
        <v>54</v>
      </c>
      <c r="E355" s="75"/>
      <c r="F355" s="75"/>
      <c r="G355" s="75"/>
      <c r="H355" s="109"/>
      <c r="I355" s="109"/>
    </row>
    <row r="356" spans="1:9" x14ac:dyDescent="0.25">
      <c r="A356" s="22">
        <v>312</v>
      </c>
      <c r="B356" s="23"/>
      <c r="C356" s="24"/>
      <c r="D356" s="25" t="s">
        <v>55</v>
      </c>
      <c r="E356" s="74">
        <f t="shared" ref="E356:G356" si="156">SUM(E357)</f>
        <v>20436.98</v>
      </c>
      <c r="F356" s="74">
        <f t="shared" si="156"/>
        <v>21545</v>
      </c>
      <c r="G356" s="74">
        <f t="shared" si="156"/>
        <v>21245.439999999999</v>
      </c>
      <c r="H356" s="185">
        <f t="shared" ref="H356:H361" si="157">G356/E356*100</f>
        <v>103.9558682349349</v>
      </c>
      <c r="I356" s="185">
        <f t="shared" ref="I356:I361" si="158">G356/F356*100</f>
        <v>98.609607797632862</v>
      </c>
    </row>
    <row r="357" spans="1:9" x14ac:dyDescent="0.25">
      <c r="A357" s="65">
        <v>3121</v>
      </c>
      <c r="B357" s="66"/>
      <c r="C357" s="67"/>
      <c r="D357" s="64" t="s">
        <v>56</v>
      </c>
      <c r="E357" s="75">
        <v>20436.98</v>
      </c>
      <c r="F357" s="75">
        <v>21545</v>
      </c>
      <c r="G357" s="123">
        <v>21245.439999999999</v>
      </c>
      <c r="H357" s="183">
        <f t="shared" si="157"/>
        <v>103.9558682349349</v>
      </c>
      <c r="I357" s="183">
        <f t="shared" si="158"/>
        <v>98.609607797632862</v>
      </c>
    </row>
    <row r="358" spans="1:9" x14ac:dyDescent="0.25">
      <c r="A358" s="22">
        <v>313</v>
      </c>
      <c r="B358" s="23"/>
      <c r="C358" s="24"/>
      <c r="D358" s="25" t="s">
        <v>41</v>
      </c>
      <c r="E358" s="74">
        <f>SUM(E359:E359)</f>
        <v>70871.320000000007</v>
      </c>
      <c r="F358" s="74">
        <f>SUM(F359:F359)</f>
        <v>90010</v>
      </c>
      <c r="G358" s="74">
        <f>SUM(G359:G359)</f>
        <v>89979.94</v>
      </c>
      <c r="H358" s="185">
        <f t="shared" si="157"/>
        <v>126.96241582631733</v>
      </c>
      <c r="I358" s="185">
        <f t="shared" si="158"/>
        <v>99.966603710698806</v>
      </c>
    </row>
    <row r="359" spans="1:9" ht="25.5" x14ac:dyDescent="0.25">
      <c r="A359" s="65">
        <v>3132</v>
      </c>
      <c r="B359" s="66"/>
      <c r="C359" s="67"/>
      <c r="D359" s="64" t="s">
        <v>57</v>
      </c>
      <c r="E359" s="75">
        <v>70871.320000000007</v>
      </c>
      <c r="F359" s="75">
        <f>98010-8000</f>
        <v>90010</v>
      </c>
      <c r="G359" s="123">
        <v>89979.94</v>
      </c>
      <c r="H359" s="183">
        <f t="shared" si="157"/>
        <v>126.96241582631733</v>
      </c>
      <c r="I359" s="183">
        <f t="shared" si="158"/>
        <v>99.966603710698806</v>
      </c>
    </row>
    <row r="360" spans="1:9" x14ac:dyDescent="0.25">
      <c r="A360" s="265">
        <v>32</v>
      </c>
      <c r="B360" s="266"/>
      <c r="C360" s="267"/>
      <c r="D360" s="26" t="s">
        <v>27</v>
      </c>
      <c r="E360" s="73">
        <f>SUM(E361+E366+E374+E384+E385)</f>
        <v>42884.070000000007</v>
      </c>
      <c r="F360" s="73">
        <f t="shared" ref="F360" si="159">SUM(F361+F366+F374+F384+F385)</f>
        <v>44053.55</v>
      </c>
      <c r="G360" s="73">
        <f t="shared" ref="G360" si="160">SUM(G361+G366+G374+G384+G385)</f>
        <v>42944.4</v>
      </c>
      <c r="H360" s="208">
        <f t="shared" si="157"/>
        <v>100.14068160974459</v>
      </c>
      <c r="I360" s="208">
        <f t="shared" si="158"/>
        <v>97.482268738841711</v>
      </c>
    </row>
    <row r="361" spans="1:9" x14ac:dyDescent="0.25">
      <c r="A361" s="22">
        <v>321</v>
      </c>
      <c r="B361" s="23"/>
      <c r="C361" s="24"/>
      <c r="D361" s="25" t="s">
        <v>42</v>
      </c>
      <c r="E361" s="74">
        <f t="shared" ref="E361:F361" si="161">SUM(E362:E365)</f>
        <v>17255.68</v>
      </c>
      <c r="F361" s="74">
        <f t="shared" si="161"/>
        <v>17056</v>
      </c>
      <c r="G361" s="74">
        <f t="shared" ref="G361" si="162">SUM(G362:G365)</f>
        <v>17290.63</v>
      </c>
      <c r="H361" s="185">
        <f t="shared" si="157"/>
        <v>100.20254200356058</v>
      </c>
      <c r="I361" s="185">
        <f t="shared" si="158"/>
        <v>101.37564493433398</v>
      </c>
    </row>
    <row r="362" spans="1:9" x14ac:dyDescent="0.25">
      <c r="A362" s="65">
        <v>3211</v>
      </c>
      <c r="B362" s="66"/>
      <c r="C362" s="67"/>
      <c r="D362" s="64" t="s">
        <v>58</v>
      </c>
      <c r="E362" s="75"/>
      <c r="F362" s="75"/>
      <c r="G362" s="75"/>
      <c r="H362" s="109"/>
      <c r="I362" s="109"/>
    </row>
    <row r="363" spans="1:9" ht="25.5" x14ac:dyDescent="0.25">
      <c r="A363" s="65">
        <v>3212</v>
      </c>
      <c r="B363" s="66"/>
      <c r="C363" s="67"/>
      <c r="D363" s="64" t="s">
        <v>126</v>
      </c>
      <c r="E363" s="75">
        <v>17255.68</v>
      </c>
      <c r="F363" s="75">
        <f>19056-2000</f>
        <v>17056</v>
      </c>
      <c r="G363" s="123">
        <v>17290.63</v>
      </c>
      <c r="H363" s="183">
        <f>G363/E363*100</f>
        <v>100.20254200356058</v>
      </c>
      <c r="I363" s="183">
        <f>G363/F363*100</f>
        <v>101.37564493433398</v>
      </c>
    </row>
    <row r="364" spans="1:9" x14ac:dyDescent="0.25">
      <c r="A364" s="65">
        <v>3213</v>
      </c>
      <c r="B364" s="66"/>
      <c r="C364" s="67"/>
      <c r="D364" s="64" t="s">
        <v>60</v>
      </c>
      <c r="E364" s="75"/>
      <c r="F364" s="75"/>
      <c r="G364" s="75"/>
      <c r="H364" s="109"/>
      <c r="I364" s="109"/>
    </row>
    <row r="365" spans="1:9" ht="25.5" x14ac:dyDescent="0.25">
      <c r="A365" s="65">
        <v>3214</v>
      </c>
      <c r="B365" s="66"/>
      <c r="C365" s="67"/>
      <c r="D365" s="64" t="s">
        <v>61</v>
      </c>
      <c r="E365" s="75"/>
      <c r="F365" s="75"/>
      <c r="G365" s="75"/>
      <c r="H365" s="109"/>
      <c r="I365" s="109"/>
    </row>
    <row r="366" spans="1:9" x14ac:dyDescent="0.25">
      <c r="A366" s="22">
        <v>322</v>
      </c>
      <c r="B366" s="23"/>
      <c r="C366" s="24"/>
      <c r="D366" s="25" t="s">
        <v>43</v>
      </c>
      <c r="E366" s="74">
        <f t="shared" ref="E366:F366" si="163">SUM(E367:E373)</f>
        <v>23833.09</v>
      </c>
      <c r="F366" s="74">
        <f t="shared" si="163"/>
        <v>24595.55</v>
      </c>
      <c r="G366" s="74">
        <f t="shared" ref="G366" si="164">SUM(G367:G373)</f>
        <v>22784.77</v>
      </c>
      <c r="H366" s="185">
        <f>G366/E366*100</f>
        <v>95.601409636769716</v>
      </c>
      <c r="I366" s="185">
        <f>G366/F366*100</f>
        <v>92.637773906255404</v>
      </c>
    </row>
    <row r="367" spans="1:9" ht="25.5" x14ac:dyDescent="0.25">
      <c r="A367" s="65">
        <v>3221</v>
      </c>
      <c r="B367" s="66"/>
      <c r="C367" s="67"/>
      <c r="D367" s="64" t="s">
        <v>62</v>
      </c>
      <c r="E367" s="75">
        <v>244.46</v>
      </c>
      <c r="F367" s="75">
        <f>195.14+400.41</f>
        <v>595.54999999999995</v>
      </c>
      <c r="G367" s="123">
        <f>195.16+400.41</f>
        <v>595.57000000000005</v>
      </c>
      <c r="H367" s="183"/>
      <c r="I367" s="183">
        <f t="shared" ref="I367:I368" si="165">G367/F367*100</f>
        <v>100.0033582402821</v>
      </c>
    </row>
    <row r="368" spans="1:9" x14ac:dyDescent="0.25">
      <c r="A368" s="65">
        <v>3222</v>
      </c>
      <c r="B368" s="66"/>
      <c r="C368" s="67"/>
      <c r="D368" s="64" t="s">
        <v>63</v>
      </c>
      <c r="E368" s="75">
        <v>23588.63</v>
      </c>
      <c r="F368" s="75">
        <v>24000</v>
      </c>
      <c r="G368" s="123">
        <v>22189.200000000001</v>
      </c>
      <c r="H368" s="183">
        <f t="shared" ref="H368" si="166">G368/E368*100</f>
        <v>94.067353636052616</v>
      </c>
      <c r="I368" s="183">
        <f t="shared" si="165"/>
        <v>92.454999999999998</v>
      </c>
    </row>
    <row r="369" spans="1:9" x14ac:dyDescent="0.25">
      <c r="A369" s="65">
        <v>3223</v>
      </c>
      <c r="B369" s="66"/>
      <c r="C369" s="67"/>
      <c r="D369" s="64" t="s">
        <v>64</v>
      </c>
      <c r="E369" s="75"/>
      <c r="F369" s="75"/>
      <c r="G369" s="75"/>
      <c r="H369" s="109"/>
      <c r="I369" s="109"/>
    </row>
    <row r="370" spans="1:9" ht="25.5" x14ac:dyDescent="0.25">
      <c r="A370" s="65">
        <v>3224</v>
      </c>
      <c r="B370" s="66"/>
      <c r="C370" s="67"/>
      <c r="D370" s="64" t="s">
        <v>65</v>
      </c>
      <c r="E370" s="75"/>
      <c r="F370" s="75"/>
      <c r="G370" s="75"/>
      <c r="H370" s="109"/>
      <c r="I370" s="109"/>
    </row>
    <row r="371" spans="1:9" x14ac:dyDescent="0.25">
      <c r="A371" s="65">
        <v>3225</v>
      </c>
      <c r="B371" s="66"/>
      <c r="C371" s="67"/>
      <c r="D371" s="64" t="s">
        <v>66</v>
      </c>
      <c r="E371" s="75"/>
      <c r="F371" s="75"/>
      <c r="G371" s="123"/>
      <c r="H371" s="183" t="e">
        <f t="shared" ref="H371" si="167">G371/E371*100</f>
        <v>#DIV/0!</v>
      </c>
      <c r="I371" s="109"/>
    </row>
    <row r="372" spans="1:9" ht="25.5" x14ac:dyDescent="0.25">
      <c r="A372" s="65">
        <v>3226</v>
      </c>
      <c r="B372" s="66"/>
      <c r="C372" s="67"/>
      <c r="D372" s="64" t="s">
        <v>67</v>
      </c>
      <c r="E372" s="75"/>
      <c r="F372" s="75"/>
      <c r="G372" s="75"/>
      <c r="H372" s="109"/>
      <c r="I372" s="109"/>
    </row>
    <row r="373" spans="1:9" ht="25.5" x14ac:dyDescent="0.25">
      <c r="A373" s="65">
        <v>3227</v>
      </c>
      <c r="B373" s="66"/>
      <c r="C373" s="67"/>
      <c r="D373" s="64" t="s">
        <v>68</v>
      </c>
      <c r="E373" s="75"/>
      <c r="F373" s="75"/>
      <c r="G373" s="75"/>
      <c r="H373" s="109"/>
      <c r="I373" s="109"/>
    </row>
    <row r="374" spans="1:9" x14ac:dyDescent="0.25">
      <c r="A374" s="22">
        <v>323</v>
      </c>
      <c r="B374" s="23"/>
      <c r="C374" s="24"/>
      <c r="D374" s="25" t="s">
        <v>44</v>
      </c>
      <c r="E374" s="74">
        <f t="shared" ref="E374:F374" si="168">SUM(E375:E383)</f>
        <v>130.87</v>
      </c>
      <c r="F374" s="74">
        <f t="shared" si="168"/>
        <v>0</v>
      </c>
      <c r="G374" s="74">
        <f t="shared" ref="G374" si="169">SUM(G375:G383)</f>
        <v>0</v>
      </c>
      <c r="H374" s="199"/>
      <c r="I374" s="199"/>
    </row>
    <row r="375" spans="1:9" x14ac:dyDescent="0.25">
      <c r="A375" s="65">
        <v>3231</v>
      </c>
      <c r="B375" s="66"/>
      <c r="C375" s="67"/>
      <c r="D375" s="64" t="s">
        <v>69</v>
      </c>
      <c r="E375" s="75"/>
      <c r="F375" s="75"/>
      <c r="G375" s="75"/>
      <c r="H375" s="109"/>
      <c r="I375" s="109"/>
    </row>
    <row r="376" spans="1:9" ht="25.5" x14ac:dyDescent="0.25">
      <c r="A376" s="65">
        <v>3232</v>
      </c>
      <c r="B376" s="66"/>
      <c r="C376" s="67"/>
      <c r="D376" s="64" t="s">
        <v>70</v>
      </c>
      <c r="E376" s="75"/>
      <c r="F376" s="75"/>
      <c r="G376" s="75"/>
      <c r="H376" s="109"/>
      <c r="I376" s="109"/>
    </row>
    <row r="377" spans="1:9" x14ac:dyDescent="0.25">
      <c r="A377" s="65">
        <v>3233</v>
      </c>
      <c r="B377" s="66"/>
      <c r="C377" s="67"/>
      <c r="D377" s="64" t="s">
        <v>71</v>
      </c>
      <c r="E377" s="75"/>
      <c r="F377" s="75"/>
      <c r="G377" s="75"/>
      <c r="H377" s="109"/>
      <c r="I377" s="109"/>
    </row>
    <row r="378" spans="1:9" x14ac:dyDescent="0.25">
      <c r="A378" s="65">
        <v>3234</v>
      </c>
      <c r="B378" s="66"/>
      <c r="C378" s="67"/>
      <c r="D378" s="64" t="s">
        <v>72</v>
      </c>
      <c r="E378" s="75"/>
      <c r="F378" s="75"/>
      <c r="G378" s="75"/>
      <c r="H378" s="109"/>
      <c r="I378" s="109"/>
    </row>
    <row r="379" spans="1:9" x14ac:dyDescent="0.25">
      <c r="A379" s="65">
        <v>3235</v>
      </c>
      <c r="B379" s="66"/>
      <c r="C379" s="67"/>
      <c r="D379" s="64" t="s">
        <v>73</v>
      </c>
      <c r="E379" s="75"/>
      <c r="F379" s="75"/>
      <c r="G379" s="75"/>
      <c r="H379" s="109"/>
      <c r="I379" s="109"/>
    </row>
    <row r="380" spans="1:9" x14ac:dyDescent="0.25">
      <c r="A380" s="65">
        <v>3236</v>
      </c>
      <c r="B380" s="66"/>
      <c r="C380" s="67"/>
      <c r="D380" s="64" t="s">
        <v>74</v>
      </c>
      <c r="E380" s="75"/>
      <c r="F380" s="75"/>
      <c r="G380" s="75"/>
      <c r="H380" s="109"/>
      <c r="I380" s="109"/>
    </row>
    <row r="381" spans="1:9" x14ac:dyDescent="0.25">
      <c r="A381" s="65">
        <v>3237</v>
      </c>
      <c r="B381" s="66"/>
      <c r="C381" s="67"/>
      <c r="D381" s="64" t="s">
        <v>75</v>
      </c>
      <c r="E381" s="75"/>
      <c r="F381" s="75"/>
      <c r="G381" s="75"/>
      <c r="H381" s="109"/>
      <c r="I381" s="109"/>
    </row>
    <row r="382" spans="1:9" x14ac:dyDescent="0.25">
      <c r="A382" s="65">
        <v>3238</v>
      </c>
      <c r="B382" s="66"/>
      <c r="C382" s="67"/>
      <c r="D382" s="64" t="s">
        <v>76</v>
      </c>
      <c r="E382" s="75"/>
      <c r="F382" s="75"/>
      <c r="G382" s="75"/>
      <c r="H382" s="109"/>
      <c r="I382" s="109"/>
    </row>
    <row r="383" spans="1:9" x14ac:dyDescent="0.25">
      <c r="A383" s="65">
        <v>3239</v>
      </c>
      <c r="B383" s="66"/>
      <c r="C383" s="67"/>
      <c r="D383" s="64" t="s">
        <v>77</v>
      </c>
      <c r="E383" s="75">
        <v>130.87</v>
      </c>
      <c r="F383" s="75"/>
      <c r="G383" s="75"/>
      <c r="H383" s="109"/>
      <c r="I383" s="109"/>
    </row>
    <row r="384" spans="1:9" ht="25.5" x14ac:dyDescent="0.25">
      <c r="A384" s="22">
        <v>324</v>
      </c>
      <c r="B384" s="23"/>
      <c r="C384" s="24"/>
      <c r="D384" s="25" t="s">
        <v>78</v>
      </c>
      <c r="E384" s="74"/>
      <c r="F384" s="74"/>
      <c r="G384" s="74"/>
      <c r="H384" s="199"/>
      <c r="I384" s="199"/>
    </row>
    <row r="385" spans="1:9" ht="25.5" x14ac:dyDescent="0.25">
      <c r="A385" s="22">
        <v>329</v>
      </c>
      <c r="B385" s="23"/>
      <c r="C385" s="24"/>
      <c r="D385" s="25" t="s">
        <v>79</v>
      </c>
      <c r="E385" s="74">
        <f t="shared" ref="E385:F385" si="170">SUM(E386:E392)</f>
        <v>1664.43</v>
      </c>
      <c r="F385" s="74">
        <f t="shared" si="170"/>
        <v>2402</v>
      </c>
      <c r="G385" s="74">
        <f t="shared" ref="G385" si="171">SUM(G386:G392)</f>
        <v>2869</v>
      </c>
      <c r="H385" s="185">
        <f>G385/E385*100</f>
        <v>172.37132231454609</v>
      </c>
      <c r="I385" s="185">
        <f>G385/F385*100</f>
        <v>119.44213155703581</v>
      </c>
    </row>
    <row r="386" spans="1:9" ht="38.25" x14ac:dyDescent="0.25">
      <c r="A386" s="65">
        <v>3291</v>
      </c>
      <c r="B386" s="66"/>
      <c r="C386" s="67"/>
      <c r="D386" s="64" t="s">
        <v>80</v>
      </c>
      <c r="E386" s="75"/>
      <c r="F386" s="75"/>
      <c r="G386" s="75"/>
      <c r="H386" s="109"/>
      <c r="I386" s="109"/>
    </row>
    <row r="387" spans="1:9" x14ac:dyDescent="0.25">
      <c r="A387" s="65">
        <v>3292</v>
      </c>
      <c r="B387" s="66"/>
      <c r="C387" s="67"/>
      <c r="D387" s="64" t="s">
        <v>81</v>
      </c>
      <c r="E387" s="75"/>
      <c r="F387" s="75"/>
      <c r="G387" s="75"/>
      <c r="H387" s="109"/>
      <c r="I387" s="109"/>
    </row>
    <row r="388" spans="1:9" x14ac:dyDescent="0.25">
      <c r="A388" s="65">
        <v>3293</v>
      </c>
      <c r="B388" s="66"/>
      <c r="C388" s="67"/>
      <c r="D388" s="64" t="s">
        <v>82</v>
      </c>
      <c r="E388" s="75"/>
      <c r="F388" s="75"/>
      <c r="G388" s="75"/>
      <c r="H388" s="109"/>
      <c r="I388" s="109"/>
    </row>
    <row r="389" spans="1:9" x14ac:dyDescent="0.25">
      <c r="A389" s="65">
        <v>3294</v>
      </c>
      <c r="B389" s="66"/>
      <c r="C389" s="67"/>
      <c r="D389" s="64" t="s">
        <v>83</v>
      </c>
      <c r="E389" s="75"/>
      <c r="F389" s="75"/>
      <c r="G389" s="75"/>
      <c r="H389" s="109"/>
      <c r="I389" s="109"/>
    </row>
    <row r="390" spans="1:9" x14ac:dyDescent="0.25">
      <c r="A390" s="65">
        <v>3295</v>
      </c>
      <c r="B390" s="66"/>
      <c r="C390" s="67"/>
      <c r="D390" s="64" t="s">
        <v>84</v>
      </c>
      <c r="E390" s="75">
        <v>1664.43</v>
      </c>
      <c r="F390" s="75">
        <v>2156</v>
      </c>
      <c r="G390" s="123">
        <v>1988</v>
      </c>
      <c r="H390" s="183">
        <f t="shared" ref="H390" si="172">G390/E390*100</f>
        <v>119.4402888676604</v>
      </c>
      <c r="I390" s="183">
        <f t="shared" ref="I390:I392" si="173">G390/F390*100</f>
        <v>92.20779220779221</v>
      </c>
    </row>
    <row r="391" spans="1:9" x14ac:dyDescent="0.25">
      <c r="A391" s="65">
        <v>3296</v>
      </c>
      <c r="B391" s="66"/>
      <c r="C391" s="67"/>
      <c r="D391" s="64" t="s">
        <v>85</v>
      </c>
      <c r="E391" s="75"/>
      <c r="F391" s="75"/>
      <c r="G391" s="75"/>
      <c r="H391" s="109"/>
      <c r="I391" s="109"/>
    </row>
    <row r="392" spans="1:9" ht="25.5" x14ac:dyDescent="0.25">
      <c r="A392" s="65">
        <v>3299</v>
      </c>
      <c r="B392" s="66"/>
      <c r="C392" s="67"/>
      <c r="D392" s="64" t="s">
        <v>45</v>
      </c>
      <c r="E392" s="75"/>
      <c r="F392" s="75">
        <v>246</v>
      </c>
      <c r="G392" s="123">
        <v>881</v>
      </c>
      <c r="H392" s="109"/>
      <c r="I392" s="183">
        <f t="shared" si="173"/>
        <v>358.130081300813</v>
      </c>
    </row>
    <row r="393" spans="1:9" x14ac:dyDescent="0.25">
      <c r="A393" s="70">
        <v>34</v>
      </c>
      <c r="B393" s="71"/>
      <c r="C393" s="72"/>
      <c r="D393" s="26" t="s">
        <v>46</v>
      </c>
      <c r="E393" s="73">
        <f t="shared" ref="E393:G393" si="174">SUM(E394)</f>
        <v>0</v>
      </c>
      <c r="F393" s="73">
        <f t="shared" si="174"/>
        <v>0</v>
      </c>
      <c r="G393" s="73">
        <f t="shared" si="174"/>
        <v>0</v>
      </c>
      <c r="H393" s="203"/>
      <c r="I393" s="203"/>
    </row>
    <row r="394" spans="1:9" x14ac:dyDescent="0.25">
      <c r="A394" s="22">
        <v>343</v>
      </c>
      <c r="B394" s="23"/>
      <c r="C394" s="24"/>
      <c r="D394" s="25" t="s">
        <v>47</v>
      </c>
      <c r="E394" s="74">
        <f t="shared" ref="E394:F394" si="175">SUM(E395:E396)</f>
        <v>0</v>
      </c>
      <c r="F394" s="74">
        <f t="shared" si="175"/>
        <v>0</v>
      </c>
      <c r="G394" s="74">
        <f t="shared" ref="G394" si="176">SUM(G395:G396)</f>
        <v>0</v>
      </c>
      <c r="H394" s="185" t="e">
        <f>G394/E394*100</f>
        <v>#DIV/0!</v>
      </c>
      <c r="I394" s="185" t="e">
        <f>G394/F394*100</f>
        <v>#DIV/0!</v>
      </c>
    </row>
    <row r="395" spans="1:9" ht="25.5" x14ac:dyDescent="0.25">
      <c r="A395" s="65">
        <v>3431</v>
      </c>
      <c r="B395" s="66"/>
      <c r="C395" s="67"/>
      <c r="D395" s="64" t="s">
        <v>86</v>
      </c>
      <c r="E395" s="75"/>
      <c r="F395" s="75"/>
      <c r="G395" s="75"/>
      <c r="H395" s="109"/>
      <c r="I395" s="109"/>
    </row>
    <row r="396" spans="1:9" x14ac:dyDescent="0.25">
      <c r="A396" s="65">
        <v>3433</v>
      </c>
      <c r="B396" s="66"/>
      <c r="C396" s="67"/>
      <c r="D396" s="64" t="s">
        <v>87</v>
      </c>
      <c r="E396" s="75"/>
      <c r="F396" s="75"/>
      <c r="G396" s="75"/>
      <c r="H396" s="109"/>
      <c r="I396" s="109"/>
    </row>
    <row r="397" spans="1:9" ht="38.25" x14ac:dyDescent="0.25">
      <c r="A397" s="70">
        <v>37</v>
      </c>
      <c r="B397" s="71"/>
      <c r="C397" s="72"/>
      <c r="D397" s="26" t="s">
        <v>48</v>
      </c>
      <c r="E397" s="73">
        <f t="shared" ref="E397:G397" si="177">SUM(E398)</f>
        <v>3374.96</v>
      </c>
      <c r="F397" s="73">
        <f t="shared" si="177"/>
        <v>5560.31</v>
      </c>
      <c r="G397" s="73">
        <f t="shared" si="177"/>
        <v>5560.31</v>
      </c>
      <c r="H397" s="208">
        <f>G397/E397*100</f>
        <v>164.75187854078271</v>
      </c>
      <c r="I397" s="208">
        <f>G397/F397*100</f>
        <v>100</v>
      </c>
    </row>
    <row r="398" spans="1:9" ht="25.5" x14ac:dyDescent="0.25">
      <c r="A398" s="22">
        <v>372</v>
      </c>
      <c r="B398" s="23"/>
      <c r="C398" s="24"/>
      <c r="D398" s="25" t="s">
        <v>49</v>
      </c>
      <c r="E398" s="74">
        <f>E399+E400</f>
        <v>3374.96</v>
      </c>
      <c r="F398" s="74">
        <f t="shared" ref="F398" si="178">F399+F400</f>
        <v>5560.31</v>
      </c>
      <c r="G398" s="74">
        <f>SUM(G399+G400)</f>
        <v>5560.31</v>
      </c>
      <c r="H398" s="185">
        <f>G398/E398*100</f>
        <v>164.75187854078271</v>
      </c>
      <c r="I398" s="185">
        <f>G398/F398*100</f>
        <v>100</v>
      </c>
    </row>
    <row r="399" spans="1:9" ht="30.75" customHeight="1" x14ac:dyDescent="0.25">
      <c r="A399" s="65">
        <v>3721</v>
      </c>
      <c r="B399" s="66"/>
      <c r="C399" s="67"/>
      <c r="D399" s="64" t="s">
        <v>88</v>
      </c>
      <c r="E399" s="75"/>
      <c r="F399" s="75"/>
      <c r="G399" s="75"/>
      <c r="H399" s="109"/>
      <c r="I399" s="109"/>
    </row>
    <row r="400" spans="1:9" ht="25.5" x14ac:dyDescent="0.25">
      <c r="A400" s="65">
        <v>3722</v>
      </c>
      <c r="B400" s="66"/>
      <c r="C400" s="67"/>
      <c r="D400" s="64" t="s">
        <v>89</v>
      </c>
      <c r="E400" s="75">
        <v>3374.96</v>
      </c>
      <c r="F400" s="75">
        <v>5560.31</v>
      </c>
      <c r="G400" s="123">
        <v>5560.31</v>
      </c>
      <c r="H400" s="183">
        <f t="shared" ref="H400" si="179">G400/E400*100</f>
        <v>164.75187854078271</v>
      </c>
      <c r="I400" s="183">
        <f t="shared" ref="I400" si="180">G400/F400*100</f>
        <v>100</v>
      </c>
    </row>
    <row r="401" spans="1:9" ht="28.5" customHeight="1" x14ac:dyDescent="0.25">
      <c r="A401" s="204">
        <v>4</v>
      </c>
      <c r="B401" s="205"/>
      <c r="C401" s="206"/>
      <c r="D401" s="200" t="s">
        <v>38</v>
      </c>
      <c r="E401" s="202">
        <f>E403+E410</f>
        <v>6253.0599999999995</v>
      </c>
      <c r="F401" s="202">
        <f t="shared" ref="F401:G401" si="181">SUM(F402)</f>
        <v>3025.18</v>
      </c>
      <c r="G401" s="202">
        <f t="shared" si="181"/>
        <v>3335.18</v>
      </c>
      <c r="H401" s="207">
        <f>G401/E401*100</f>
        <v>53.336766319210113</v>
      </c>
      <c r="I401" s="207">
        <f>G401/F401*100</f>
        <v>110.24732412616768</v>
      </c>
    </row>
    <row r="402" spans="1:9" ht="28.5" customHeight="1" x14ac:dyDescent="0.25">
      <c r="A402" s="70">
        <v>42</v>
      </c>
      <c r="B402" s="71"/>
      <c r="C402" s="72"/>
      <c r="D402" s="26" t="s">
        <v>38</v>
      </c>
      <c r="E402" s="73">
        <f>E403+E410</f>
        <v>6253.0599999999995</v>
      </c>
      <c r="F402" s="73">
        <f t="shared" ref="F402:G402" si="182">F403+F410</f>
        <v>3025.18</v>
      </c>
      <c r="G402" s="73">
        <f t="shared" si="182"/>
        <v>3335.18</v>
      </c>
      <c r="H402" s="208">
        <f>G402/E402*100</f>
        <v>53.336766319210113</v>
      </c>
      <c r="I402" s="208">
        <f>G402/F402*100</f>
        <v>110.24732412616768</v>
      </c>
    </row>
    <row r="403" spans="1:9" x14ac:dyDescent="0.25">
      <c r="A403" s="22">
        <v>422</v>
      </c>
      <c r="B403" s="23"/>
      <c r="C403" s="24"/>
      <c r="D403" s="25" t="s">
        <v>50</v>
      </c>
      <c r="E403" s="74">
        <f t="shared" ref="E403:F403" si="183">SUM(E404:E409)</f>
        <v>2200</v>
      </c>
      <c r="F403" s="74">
        <f t="shared" si="183"/>
        <v>0</v>
      </c>
      <c r="G403" s="74">
        <f t="shared" ref="G403" si="184">SUM(G404:G409)</f>
        <v>0</v>
      </c>
      <c r="H403" s="199"/>
      <c r="I403" s="199"/>
    </row>
    <row r="404" spans="1:9" x14ac:dyDescent="0.25">
      <c r="A404" s="65">
        <v>4221</v>
      </c>
      <c r="B404" s="66"/>
      <c r="C404" s="67"/>
      <c r="D404" s="64" t="s">
        <v>90</v>
      </c>
      <c r="E404" s="75"/>
      <c r="F404" s="75"/>
      <c r="G404" s="75"/>
      <c r="H404" s="109"/>
      <c r="I404" s="109"/>
    </row>
    <row r="405" spans="1:9" x14ac:dyDescent="0.25">
      <c r="A405" s="65">
        <v>4222</v>
      </c>
      <c r="B405" s="66"/>
      <c r="C405" s="67"/>
      <c r="D405" s="64" t="s">
        <v>91</v>
      </c>
      <c r="E405" s="75"/>
      <c r="F405" s="75"/>
      <c r="G405" s="75"/>
      <c r="H405" s="109"/>
      <c r="I405" s="109"/>
    </row>
    <row r="406" spans="1:9" x14ac:dyDescent="0.25">
      <c r="A406" s="65">
        <v>4223</v>
      </c>
      <c r="B406" s="66"/>
      <c r="C406" s="67"/>
      <c r="D406" s="64" t="s">
        <v>92</v>
      </c>
      <c r="E406" s="75"/>
      <c r="F406" s="75"/>
      <c r="G406" s="75"/>
      <c r="H406" s="109"/>
      <c r="I406" s="109"/>
    </row>
    <row r="407" spans="1:9" x14ac:dyDescent="0.25">
      <c r="A407" s="65">
        <v>4225</v>
      </c>
      <c r="B407" s="66"/>
      <c r="C407" s="67"/>
      <c r="D407" s="64" t="s">
        <v>93</v>
      </c>
      <c r="E407" s="75"/>
      <c r="F407" s="75"/>
      <c r="G407" s="75"/>
      <c r="H407" s="109"/>
      <c r="I407" s="109"/>
    </row>
    <row r="408" spans="1:9" x14ac:dyDescent="0.25">
      <c r="A408" s="65">
        <v>4226</v>
      </c>
      <c r="B408" s="66"/>
      <c r="C408" s="67"/>
      <c r="D408" s="64" t="s">
        <v>94</v>
      </c>
      <c r="E408" s="75"/>
      <c r="F408" s="75"/>
      <c r="G408" s="75"/>
      <c r="H408" s="109"/>
      <c r="I408" s="109"/>
    </row>
    <row r="409" spans="1:9" ht="25.5" x14ac:dyDescent="0.25">
      <c r="A409" s="65">
        <v>4227</v>
      </c>
      <c r="B409" s="66"/>
      <c r="C409" s="67"/>
      <c r="D409" s="64" t="s">
        <v>95</v>
      </c>
      <c r="E409" s="75">
        <v>2200</v>
      </c>
      <c r="F409" s="75"/>
      <c r="G409" s="75"/>
      <c r="H409" s="109"/>
      <c r="I409" s="109"/>
    </row>
    <row r="410" spans="1:9" ht="25.5" x14ac:dyDescent="0.25">
      <c r="A410" s="22">
        <v>424</v>
      </c>
      <c r="B410" s="23"/>
      <c r="C410" s="24"/>
      <c r="D410" s="25" t="s">
        <v>51</v>
      </c>
      <c r="E410" s="74">
        <f t="shared" ref="E410:G410" si="185">SUM(E411)</f>
        <v>4053.06</v>
      </c>
      <c r="F410" s="74">
        <f t="shared" si="185"/>
        <v>3025.18</v>
      </c>
      <c r="G410" s="74">
        <f t="shared" si="185"/>
        <v>3335.18</v>
      </c>
      <c r="H410" s="185">
        <f>G410/E410*100</f>
        <v>82.287950338756389</v>
      </c>
      <c r="I410" s="185">
        <f>G410/F410*100</f>
        <v>110.24732412616768</v>
      </c>
    </row>
    <row r="411" spans="1:9" x14ac:dyDescent="0.25">
      <c r="A411" s="65">
        <v>4241</v>
      </c>
      <c r="B411" s="66"/>
      <c r="C411" s="67"/>
      <c r="D411" s="64" t="s">
        <v>96</v>
      </c>
      <c r="E411" s="75">
        <v>4053.06</v>
      </c>
      <c r="F411" s="75">
        <v>3025.18</v>
      </c>
      <c r="G411" s="123">
        <v>3335.18</v>
      </c>
      <c r="H411" s="183">
        <f t="shared" ref="H411" si="186">G411/E411*100</f>
        <v>82.287950338756389</v>
      </c>
      <c r="I411" s="183">
        <f t="shared" ref="I411" si="187">G411/F411*100</f>
        <v>110.24732412616768</v>
      </c>
    </row>
    <row r="412" spans="1:9" x14ac:dyDescent="0.25">
      <c r="A412" s="65"/>
      <c r="B412" s="66"/>
      <c r="C412" s="67"/>
      <c r="D412" s="64"/>
      <c r="E412" s="75"/>
      <c r="F412" s="75"/>
      <c r="G412" s="75"/>
      <c r="H412" s="109"/>
      <c r="I412" s="109"/>
    </row>
    <row r="413" spans="1:9" x14ac:dyDescent="0.25">
      <c r="A413" s="65"/>
      <c r="B413" s="66"/>
      <c r="C413" s="67"/>
      <c r="D413" s="111" t="s">
        <v>97</v>
      </c>
      <c r="E413" s="112">
        <f>SUM(E350+E401)</f>
        <v>574933.47</v>
      </c>
      <c r="F413" s="112">
        <f>SUM(F350+F401)</f>
        <v>734214.04000000015</v>
      </c>
      <c r="G413" s="112">
        <f>SUM(G350+G401)</f>
        <v>716347.22</v>
      </c>
      <c r="H413" s="184">
        <f>G413/E413*100</f>
        <v>124.59654157897609</v>
      </c>
      <c r="I413" s="184">
        <f>G413/F413*100</f>
        <v>97.566537953973182</v>
      </c>
    </row>
    <row r="414" spans="1:9" ht="15" customHeight="1" x14ac:dyDescent="0.25">
      <c r="A414" s="65"/>
      <c r="B414" s="66"/>
      <c r="C414" s="67"/>
      <c r="D414" s="64"/>
      <c r="E414" s="3"/>
      <c r="F414" s="3"/>
      <c r="G414" s="3"/>
    </row>
    <row r="415" spans="1:9" ht="51" x14ac:dyDescent="0.25">
      <c r="A415" s="271" t="s">
        <v>25</v>
      </c>
      <c r="B415" s="272"/>
      <c r="C415" s="273"/>
      <c r="D415" s="13" t="s">
        <v>26</v>
      </c>
      <c r="E415" s="14" t="s">
        <v>188</v>
      </c>
      <c r="F415" s="14" t="s">
        <v>172</v>
      </c>
      <c r="G415" s="14" t="s">
        <v>189</v>
      </c>
      <c r="H415" s="14" t="s">
        <v>173</v>
      </c>
      <c r="I415" s="14" t="s">
        <v>173</v>
      </c>
    </row>
    <row r="416" spans="1:9" ht="15" customHeight="1" x14ac:dyDescent="0.25">
      <c r="A416" s="175"/>
      <c r="B416" s="173"/>
      <c r="C416" s="174"/>
      <c r="D416" s="167">
        <v>1</v>
      </c>
      <c r="E416" s="170">
        <v>2</v>
      </c>
      <c r="F416" s="171">
        <v>3</v>
      </c>
      <c r="G416" s="171">
        <v>4</v>
      </c>
      <c r="H416" s="170" t="s">
        <v>174</v>
      </c>
      <c r="I416" s="172" t="s">
        <v>175</v>
      </c>
    </row>
    <row r="417" spans="1:9" x14ac:dyDescent="0.25">
      <c r="A417" s="268" t="s">
        <v>156</v>
      </c>
      <c r="B417" s="269"/>
      <c r="C417" s="270"/>
      <c r="D417" s="110" t="s">
        <v>157</v>
      </c>
      <c r="E417" s="61"/>
      <c r="F417" s="61"/>
      <c r="G417" s="61"/>
      <c r="H417" s="109"/>
      <c r="I417" s="109"/>
    </row>
    <row r="418" spans="1:9" x14ac:dyDescent="0.25">
      <c r="A418" s="259">
        <v>52</v>
      </c>
      <c r="B418" s="260"/>
      <c r="C418" s="261"/>
      <c r="D418" s="105" t="s">
        <v>36</v>
      </c>
      <c r="E418" s="61"/>
      <c r="F418" s="61"/>
      <c r="G418" s="61"/>
      <c r="H418" s="109"/>
      <c r="I418" s="109"/>
    </row>
    <row r="419" spans="1:9" x14ac:dyDescent="0.25">
      <c r="A419" s="262">
        <v>3</v>
      </c>
      <c r="B419" s="263"/>
      <c r="C419" s="264"/>
      <c r="D419" s="200" t="s">
        <v>15</v>
      </c>
      <c r="E419" s="201">
        <f>SUM(E420+E429)</f>
        <v>0</v>
      </c>
      <c r="F419" s="201">
        <f>SUM(F420+F429)</f>
        <v>1439.09</v>
      </c>
      <c r="G419" s="201">
        <f>SUM(G420+G429)</f>
        <v>1093.57</v>
      </c>
      <c r="H419" s="207" t="e">
        <f>G419/E419*100</f>
        <v>#DIV/0!</v>
      </c>
      <c r="I419" s="207">
        <f>G419/F419*100</f>
        <v>75.990382811359964</v>
      </c>
    </row>
    <row r="420" spans="1:9" x14ac:dyDescent="0.25">
      <c r="A420" s="265">
        <v>31</v>
      </c>
      <c r="B420" s="266"/>
      <c r="C420" s="267"/>
      <c r="D420" s="26" t="s">
        <v>16</v>
      </c>
      <c r="E420" s="62">
        <f t="shared" ref="E420:F420" si="188">SUM(E421+E425+E427)</f>
        <v>0</v>
      </c>
      <c r="F420" s="62">
        <f t="shared" si="188"/>
        <v>1352.59</v>
      </c>
      <c r="G420" s="62">
        <f t="shared" ref="G420" si="189">SUM(G421+G425+G427)</f>
        <v>1026.58</v>
      </c>
      <c r="H420" s="208" t="e">
        <f>G420/E420*100</f>
        <v>#DIV/0!</v>
      </c>
      <c r="I420" s="208">
        <f>G420/F420*100</f>
        <v>75.897352486710673</v>
      </c>
    </row>
    <row r="421" spans="1:9" x14ac:dyDescent="0.25">
      <c r="A421" s="22">
        <v>311</v>
      </c>
      <c r="B421" s="23"/>
      <c r="C421" s="24"/>
      <c r="D421" s="25" t="s">
        <v>40</v>
      </c>
      <c r="E421" s="63">
        <f t="shared" ref="E421:F421" si="190">SUM(E422:E424)</f>
        <v>0</v>
      </c>
      <c r="F421" s="63">
        <f t="shared" si="190"/>
        <v>1100.9299999999998</v>
      </c>
      <c r="G421" s="63">
        <f t="shared" ref="G421" si="191">SUM(G422:G424)</f>
        <v>803.93</v>
      </c>
      <c r="H421" s="185" t="e">
        <f>G421/E421*100</f>
        <v>#DIV/0!</v>
      </c>
      <c r="I421" s="185">
        <f>G421/F421*100</f>
        <v>73.022807989608793</v>
      </c>
    </row>
    <row r="422" spans="1:9" x14ac:dyDescent="0.25">
      <c r="A422" s="65">
        <v>3111</v>
      </c>
      <c r="B422" s="66"/>
      <c r="C422" s="67"/>
      <c r="D422" s="64" t="s">
        <v>52</v>
      </c>
      <c r="E422" s="61"/>
      <c r="F422" s="61">
        <f>526.5+574.43</f>
        <v>1100.9299999999998</v>
      </c>
      <c r="G422" s="124">
        <v>803.93</v>
      </c>
      <c r="H422" s="183" t="e">
        <f t="shared" ref="H422" si="192">G422/E422*100</f>
        <v>#DIV/0!</v>
      </c>
      <c r="I422" s="183">
        <f t="shared" ref="I422" si="193">G422/F422*100</f>
        <v>73.022807989608793</v>
      </c>
    </row>
    <row r="423" spans="1:9" x14ac:dyDescent="0.25">
      <c r="A423" s="65">
        <v>3113</v>
      </c>
      <c r="B423" s="66"/>
      <c r="C423" s="67"/>
      <c r="D423" s="64" t="s">
        <v>53</v>
      </c>
      <c r="E423" s="61"/>
      <c r="F423" s="61"/>
      <c r="G423" s="61"/>
      <c r="H423" s="109"/>
      <c r="I423" s="109"/>
    </row>
    <row r="424" spans="1:9" x14ac:dyDescent="0.25">
      <c r="A424" s="65">
        <v>3114</v>
      </c>
      <c r="B424" s="66"/>
      <c r="C424" s="67"/>
      <c r="D424" s="64" t="s">
        <v>54</v>
      </c>
      <c r="E424" s="61"/>
      <c r="F424" s="61"/>
      <c r="G424" s="61"/>
      <c r="H424" s="109"/>
      <c r="I424" s="109"/>
    </row>
    <row r="425" spans="1:9" x14ac:dyDescent="0.25">
      <c r="A425" s="22">
        <v>312</v>
      </c>
      <c r="B425" s="23"/>
      <c r="C425" s="24"/>
      <c r="D425" s="25" t="s">
        <v>55</v>
      </c>
      <c r="E425" s="63">
        <f t="shared" ref="E425:G425" si="194">SUM(E426)</f>
        <v>0</v>
      </c>
      <c r="F425" s="63">
        <f t="shared" si="194"/>
        <v>70</v>
      </c>
      <c r="G425" s="63">
        <f t="shared" si="194"/>
        <v>90</v>
      </c>
      <c r="H425" s="185" t="e">
        <f>G425/E425*100</f>
        <v>#DIV/0!</v>
      </c>
      <c r="I425" s="185">
        <f>G425/F425*100</f>
        <v>128.57142857142858</v>
      </c>
    </row>
    <row r="426" spans="1:9" x14ac:dyDescent="0.25">
      <c r="A426" s="65">
        <v>3121</v>
      </c>
      <c r="B426" s="66"/>
      <c r="C426" s="67"/>
      <c r="D426" s="64" t="s">
        <v>56</v>
      </c>
      <c r="E426" s="61"/>
      <c r="F426" s="61">
        <v>70</v>
      </c>
      <c r="G426" s="124">
        <v>90</v>
      </c>
      <c r="H426" s="183" t="e">
        <f t="shared" ref="H426" si="195">G426/E426*100</f>
        <v>#DIV/0!</v>
      </c>
      <c r="I426" s="183">
        <f t="shared" ref="I426" si="196">G426/F426*100</f>
        <v>128.57142857142858</v>
      </c>
    </row>
    <row r="427" spans="1:9" x14ac:dyDescent="0.25">
      <c r="A427" s="22">
        <v>313</v>
      </c>
      <c r="B427" s="23"/>
      <c r="C427" s="24"/>
      <c r="D427" s="25" t="s">
        <v>41</v>
      </c>
      <c r="E427" s="63">
        <f>SUM(E428:E428)</f>
        <v>0</v>
      </c>
      <c r="F427" s="63">
        <f>SUM(F428:F428)</f>
        <v>181.66</v>
      </c>
      <c r="G427" s="63">
        <f>SUM(G428:G428)</f>
        <v>132.65</v>
      </c>
      <c r="H427" s="185" t="e">
        <f>G427/E427*100</f>
        <v>#DIV/0!</v>
      </c>
      <c r="I427" s="185">
        <f>G427/F427*100</f>
        <v>73.021028294616315</v>
      </c>
    </row>
    <row r="428" spans="1:9" ht="25.5" x14ac:dyDescent="0.25">
      <c r="A428" s="65">
        <v>3132</v>
      </c>
      <c r="B428" s="66"/>
      <c r="C428" s="67"/>
      <c r="D428" s="64" t="s">
        <v>57</v>
      </c>
      <c r="E428" s="61"/>
      <c r="F428" s="61">
        <f>86.88+94.78</f>
        <v>181.66</v>
      </c>
      <c r="G428" s="124">
        <v>132.65</v>
      </c>
      <c r="H428" s="183" t="e">
        <f t="shared" ref="H428" si="197">G428/E428*100</f>
        <v>#DIV/0!</v>
      </c>
      <c r="I428" s="183">
        <f t="shared" ref="I428" si="198">G428/F428*100</f>
        <v>73.021028294616315</v>
      </c>
    </row>
    <row r="429" spans="1:9" x14ac:dyDescent="0.25">
      <c r="A429" s="265">
        <v>32</v>
      </c>
      <c r="B429" s="266"/>
      <c r="C429" s="267"/>
      <c r="D429" s="26" t="s">
        <v>27</v>
      </c>
      <c r="E429" s="62">
        <f t="shared" ref="E429:G429" si="199">SUM(E430)</f>
        <v>0</v>
      </c>
      <c r="F429" s="62">
        <f t="shared" si="199"/>
        <v>86.5</v>
      </c>
      <c r="G429" s="62">
        <f t="shared" si="199"/>
        <v>66.989999999999995</v>
      </c>
      <c r="H429" s="208" t="e">
        <f>G429/E429*100</f>
        <v>#DIV/0!</v>
      </c>
      <c r="I429" s="208">
        <f>G429/F429*100</f>
        <v>77.4450867052023</v>
      </c>
    </row>
    <row r="430" spans="1:9" x14ac:dyDescent="0.25">
      <c r="A430" s="22">
        <v>321</v>
      </c>
      <c r="B430" s="23"/>
      <c r="C430" s="24"/>
      <c r="D430" s="25" t="s">
        <v>42</v>
      </c>
      <c r="E430" s="63">
        <f t="shared" ref="E430:F430" si="200">SUM(E431:E434)</f>
        <v>0</v>
      </c>
      <c r="F430" s="63">
        <f t="shared" si="200"/>
        <v>86.5</v>
      </c>
      <c r="G430" s="63">
        <f t="shared" ref="G430" si="201">SUM(G431:G434)</f>
        <v>66.989999999999995</v>
      </c>
      <c r="H430" s="185" t="e">
        <f>G430/E430*100</f>
        <v>#DIV/0!</v>
      </c>
      <c r="I430" s="185">
        <f>G430/F430*100</f>
        <v>77.4450867052023</v>
      </c>
    </row>
    <row r="431" spans="1:9" x14ac:dyDescent="0.25">
      <c r="A431" s="65">
        <v>3211</v>
      </c>
      <c r="B431" s="66"/>
      <c r="C431" s="67"/>
      <c r="D431" s="64" t="s">
        <v>58</v>
      </c>
      <c r="E431" s="61"/>
      <c r="F431" s="61"/>
      <c r="G431" s="61"/>
      <c r="H431" s="109"/>
      <c r="I431" s="109"/>
    </row>
    <row r="432" spans="1:9" ht="25.5" x14ac:dyDescent="0.25">
      <c r="A432" s="65">
        <v>3212</v>
      </c>
      <c r="B432" s="66"/>
      <c r="C432" s="67"/>
      <c r="D432" s="64" t="s">
        <v>126</v>
      </c>
      <c r="E432" s="61"/>
      <c r="F432" s="61">
        <f>47.5+39</f>
        <v>86.5</v>
      </c>
      <c r="G432" s="124">
        <v>66.989999999999995</v>
      </c>
      <c r="H432" s="183" t="e">
        <f t="shared" ref="H432" si="202">G432/E432*100</f>
        <v>#DIV/0!</v>
      </c>
      <c r="I432" s="183">
        <f t="shared" ref="I432" si="203">G432/F432*100</f>
        <v>77.4450867052023</v>
      </c>
    </row>
    <row r="433" spans="1:9" x14ac:dyDescent="0.25">
      <c r="A433" s="65">
        <v>3213</v>
      </c>
      <c r="B433" s="66"/>
      <c r="C433" s="67"/>
      <c r="D433" s="64" t="s">
        <v>60</v>
      </c>
      <c r="E433" s="61"/>
      <c r="F433" s="61"/>
      <c r="G433" s="61"/>
      <c r="H433" s="109"/>
      <c r="I433" s="109"/>
    </row>
    <row r="434" spans="1:9" ht="25.5" x14ac:dyDescent="0.25">
      <c r="A434" s="65">
        <v>3214</v>
      </c>
      <c r="B434" s="66"/>
      <c r="C434" s="67"/>
      <c r="D434" s="64" t="s">
        <v>61</v>
      </c>
      <c r="E434" s="61"/>
      <c r="F434" s="61"/>
      <c r="G434" s="61"/>
      <c r="H434" s="109"/>
      <c r="I434" s="109"/>
    </row>
    <row r="435" spans="1:9" x14ac:dyDescent="0.25">
      <c r="A435" s="65"/>
      <c r="B435" s="66"/>
      <c r="C435" s="67"/>
      <c r="D435" s="111" t="s">
        <v>97</v>
      </c>
      <c r="E435" s="113">
        <f t="shared" ref="E435:F435" si="204">SUM(E419)</f>
        <v>0</v>
      </c>
      <c r="F435" s="113">
        <f t="shared" si="204"/>
        <v>1439.09</v>
      </c>
      <c r="G435" s="113">
        <f t="shared" ref="G435" si="205">SUM(G419)</f>
        <v>1093.57</v>
      </c>
      <c r="H435" s="184" t="e">
        <f>G435/E435*100</f>
        <v>#DIV/0!</v>
      </c>
      <c r="I435" s="184">
        <f>G435/F435*100</f>
        <v>75.990382811359964</v>
      </c>
    </row>
  </sheetData>
  <mergeCells count="73">
    <mergeCell ref="A293:C293"/>
    <mergeCell ref="A294:C294"/>
    <mergeCell ref="A7:C7"/>
    <mergeCell ref="A85:C85"/>
    <mergeCell ref="A144:C144"/>
    <mergeCell ref="A158:C158"/>
    <mergeCell ref="A146:C146"/>
    <mergeCell ref="A147:C147"/>
    <mergeCell ref="A148:C148"/>
    <mergeCell ref="A149:C149"/>
    <mergeCell ref="A9:C9"/>
    <mergeCell ref="A10:C10"/>
    <mergeCell ref="A19:C19"/>
    <mergeCell ref="A99:C99"/>
    <mergeCell ref="A87:C87"/>
    <mergeCell ref="A1:H1"/>
    <mergeCell ref="A50:C50"/>
    <mergeCell ref="A73:C73"/>
    <mergeCell ref="A3:F3"/>
    <mergeCell ref="A33:C33"/>
    <mergeCell ref="A42:C42"/>
    <mergeCell ref="A52:C52"/>
    <mergeCell ref="A53:C53"/>
    <mergeCell ref="A27:C27"/>
    <mergeCell ref="A29:C29"/>
    <mergeCell ref="A30:C30"/>
    <mergeCell ref="A31:C31"/>
    <mergeCell ref="A32:C32"/>
    <mergeCell ref="A4:C4"/>
    <mergeCell ref="A6:C6"/>
    <mergeCell ref="A8:C8"/>
    <mergeCell ref="A350:C350"/>
    <mergeCell ref="A351:C351"/>
    <mergeCell ref="A337:C337"/>
    <mergeCell ref="A228:C228"/>
    <mergeCell ref="A216:C216"/>
    <mergeCell ref="A217:C217"/>
    <mergeCell ref="A218:C218"/>
    <mergeCell ref="A219:C219"/>
    <mergeCell ref="A325:C325"/>
    <mergeCell ref="A326:C326"/>
    <mergeCell ref="A327:C327"/>
    <mergeCell ref="A328:C328"/>
    <mergeCell ref="A281:C281"/>
    <mergeCell ref="A295:C295"/>
    <mergeCell ref="A291:C291"/>
    <mergeCell ref="A296:C296"/>
    <mergeCell ref="A419:C419"/>
    <mergeCell ref="A420:C420"/>
    <mergeCell ref="A429:C429"/>
    <mergeCell ref="A90:C90"/>
    <mergeCell ref="A65:C65"/>
    <mergeCell ref="A415:C415"/>
    <mergeCell ref="A417:C417"/>
    <mergeCell ref="A418:C418"/>
    <mergeCell ref="A214:C214"/>
    <mergeCell ref="A323:C323"/>
    <mergeCell ref="A346:C346"/>
    <mergeCell ref="A360:C360"/>
    <mergeCell ref="A348:C348"/>
    <mergeCell ref="A349:C349"/>
    <mergeCell ref="A283:C283"/>
    <mergeCell ref="A284:C284"/>
    <mergeCell ref="A88:C88"/>
    <mergeCell ref="A89:C89"/>
    <mergeCell ref="A54:C54"/>
    <mergeCell ref="A55:C55"/>
    <mergeCell ref="A56:C56"/>
    <mergeCell ref="A78:C78"/>
    <mergeCell ref="A79:C79"/>
    <mergeCell ref="A75:C75"/>
    <mergeCell ref="A76:C76"/>
    <mergeCell ref="A77:C77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</vt:lpstr>
      <vt:lpstr> Račun prihoda i rashoda</vt:lpstr>
      <vt:lpstr>Prihodi i rashodi po izvorima</vt:lpstr>
      <vt:lpstr>Rashodi prema funkcijskoj kl</vt:lpstr>
      <vt:lpstr>Račun financiranja</vt:lpstr>
      <vt:lpstr>Račun financiranja po izvorima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OŠ Vratišinec - tajnica</cp:lastModifiedBy>
  <cp:lastPrinted>2025-01-22T10:43:27Z</cp:lastPrinted>
  <dcterms:created xsi:type="dcterms:W3CDTF">2022-08-12T12:51:27Z</dcterms:created>
  <dcterms:modified xsi:type="dcterms:W3CDTF">2025-01-23T07:44:45Z</dcterms:modified>
</cp:coreProperties>
</file>