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V. Ž. - tajnica\Desktop\školski odbor\2021\33. sjednica\"/>
    </mc:Choice>
  </mc:AlternateContent>
  <bookViews>
    <workbookView xWindow="0" yWindow="0" windowWidth="21600" windowHeight="9330" tabRatio="907"/>
  </bookViews>
  <sheets>
    <sheet name="SAŽETAK2024" sheetId="8" r:id="rId1"/>
    <sheet name=" Račun prihoda i rashoda" sheetId="3" r:id="rId2"/>
    <sheet name="Prihodi i rashodi po izvorima" sheetId="9" r:id="rId3"/>
    <sheet name="Rashodi prema funkcijskoj kl" sheetId="5" r:id="rId4"/>
    <sheet name="Račun financiranja" sheetId="6" r:id="rId5"/>
    <sheet name="Račun financiranja po izvorima " sheetId="10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G13" i="8"/>
  <c r="F77" i="3"/>
  <c r="C12" i="5" l="1"/>
  <c r="F72" i="3"/>
  <c r="F79" i="3"/>
  <c r="G99" i="3"/>
  <c r="F99" i="3"/>
  <c r="G101" i="3"/>
  <c r="G100" i="3" s="1"/>
  <c r="F100" i="3"/>
  <c r="C20" i="9"/>
  <c r="C33" i="9"/>
  <c r="C28" i="9"/>
  <c r="F234" i="7" l="1"/>
  <c r="E234" i="7"/>
  <c r="G55" i="7"/>
  <c r="G54" i="7" s="1"/>
  <c r="G53" i="7" s="1"/>
  <c r="G52" i="7" s="1"/>
  <c r="F54" i="7"/>
  <c r="F53" i="7" s="1"/>
  <c r="F52" i="7" s="1"/>
  <c r="E52" i="7"/>
  <c r="F215" i="7"/>
  <c r="F208" i="7"/>
  <c r="E240" i="7"/>
  <c r="G349" i="7" l="1"/>
  <c r="G334" i="7"/>
  <c r="G323" i="7"/>
  <c r="G321" i="7" s="1"/>
  <c r="G320" i="7" s="1"/>
  <c r="G315" i="7"/>
  <c r="G313" i="7"/>
  <c r="G294" i="7"/>
  <c r="G291" i="7"/>
  <c r="G280" i="7"/>
  <c r="G262" i="7"/>
  <c r="G257" i="7"/>
  <c r="G243" i="7"/>
  <c r="G242" i="7" s="1"/>
  <c r="G241" i="7" s="1"/>
  <c r="G240" i="7" s="1"/>
  <c r="G228" i="7"/>
  <c r="G227" i="7" s="1"/>
  <c r="G226" i="7" s="1"/>
  <c r="G223" i="7"/>
  <c r="G222" i="7"/>
  <c r="G214" i="7"/>
  <c r="G213" i="7"/>
  <c r="G210" i="7"/>
  <c r="G209" i="7"/>
  <c r="G208" i="7"/>
  <c r="G205" i="7"/>
  <c r="G204" i="7"/>
  <c r="G202" i="7"/>
  <c r="G201" i="7"/>
  <c r="G200" i="7"/>
  <c r="G197" i="7"/>
  <c r="G174" i="7"/>
  <c r="G155" i="7"/>
  <c r="G148" i="7" s="1"/>
  <c r="G145" i="7"/>
  <c r="G137" i="7"/>
  <c r="G129" i="7"/>
  <c r="G124" i="7"/>
  <c r="G96" i="7"/>
  <c r="G93" i="7"/>
  <c r="G91" i="7"/>
  <c r="G88" i="7"/>
  <c r="G80" i="7"/>
  <c r="G75" i="7"/>
  <c r="G72" i="7"/>
  <c r="G71" i="7" s="1"/>
  <c r="G66" i="7"/>
  <c r="G42" i="7"/>
  <c r="G37" i="7"/>
  <c r="G17" i="7"/>
  <c r="G16" i="7" s="1"/>
  <c r="G15" i="7"/>
  <c r="G11" i="7"/>
  <c r="G348" i="7"/>
  <c r="G333" i="7"/>
  <c r="G326" i="7"/>
  <c r="G325" i="7" s="1"/>
  <c r="G324" i="7" s="1"/>
  <c r="G317" i="7"/>
  <c r="G316" i="7" s="1"/>
  <c r="G308" i="7"/>
  <c r="G297" i="7"/>
  <c r="G279" i="7"/>
  <c r="G256" i="7"/>
  <c r="G230" i="7"/>
  <c r="G190" i="7"/>
  <c r="G188" i="7"/>
  <c r="G184" i="7"/>
  <c r="G173" i="7"/>
  <c r="G166" i="7"/>
  <c r="G160" i="7"/>
  <c r="G157" i="7"/>
  <c r="G156" i="7" s="1"/>
  <c r="G136" i="7"/>
  <c r="G123" i="7"/>
  <c r="G120" i="7"/>
  <c r="G118" i="7"/>
  <c r="G113" i="7" s="1"/>
  <c r="G114" i="7"/>
  <c r="G97" i="7"/>
  <c r="G79" i="7"/>
  <c r="G74" i="7"/>
  <c r="G69" i="7"/>
  <c r="G65" i="7"/>
  <c r="G36" i="7"/>
  <c r="G14" i="7"/>
  <c r="G10" i="7"/>
  <c r="D14" i="5"/>
  <c r="D13" i="5"/>
  <c r="D12" i="5"/>
  <c r="D36" i="9"/>
  <c r="D35" i="9"/>
  <c r="D33" i="9"/>
  <c r="D32" i="9"/>
  <c r="D30" i="9"/>
  <c r="D28" i="9"/>
  <c r="D20" i="9"/>
  <c r="D19" i="9"/>
  <c r="D17" i="9"/>
  <c r="D16" i="9"/>
  <c r="D14" i="9"/>
  <c r="D12" i="9"/>
  <c r="C34" i="9"/>
  <c r="B34" i="9"/>
  <c r="C31" i="9"/>
  <c r="B31" i="9"/>
  <c r="C29" i="9"/>
  <c r="B29" i="9"/>
  <c r="C27" i="9"/>
  <c r="B27" i="9"/>
  <c r="B26" i="9"/>
  <c r="C18" i="9"/>
  <c r="B18" i="9"/>
  <c r="C15" i="9"/>
  <c r="B15" i="9"/>
  <c r="C13" i="9"/>
  <c r="B13" i="9"/>
  <c r="C11" i="9"/>
  <c r="B11" i="9"/>
  <c r="B10" i="9" s="1"/>
  <c r="G113" i="3"/>
  <c r="G110" i="3"/>
  <c r="G97" i="3"/>
  <c r="G92" i="3"/>
  <c r="G89" i="3"/>
  <c r="G88" i="3"/>
  <c r="G87" i="3"/>
  <c r="G86" i="3"/>
  <c r="G85" i="3"/>
  <c r="G84" i="3"/>
  <c r="G83" i="3"/>
  <c r="G79" i="3"/>
  <c r="G78" i="3"/>
  <c r="G77" i="3"/>
  <c r="G76" i="3"/>
  <c r="G75" i="3"/>
  <c r="G74" i="3"/>
  <c r="G73" i="3"/>
  <c r="G72" i="3"/>
  <c r="G71" i="3"/>
  <c r="G69" i="3"/>
  <c r="G68" i="3"/>
  <c r="G67" i="3"/>
  <c r="G66" i="3"/>
  <c r="G65" i="3"/>
  <c r="G64" i="3"/>
  <c r="G63" i="3"/>
  <c r="G61" i="3"/>
  <c r="G60" i="3"/>
  <c r="G59" i="3"/>
  <c r="G58" i="3"/>
  <c r="G55" i="3"/>
  <c r="G53" i="3"/>
  <c r="G49" i="3"/>
  <c r="G23" i="3"/>
  <c r="G36" i="3"/>
  <c r="G35" i="3"/>
  <c r="G29" i="3"/>
  <c r="G26" i="3"/>
  <c r="G19" i="3"/>
  <c r="G17" i="3"/>
  <c r="G16" i="3"/>
  <c r="G13" i="3"/>
  <c r="F112" i="3"/>
  <c r="F111" i="3" s="1"/>
  <c r="F98" i="3" s="1"/>
  <c r="F110" i="3"/>
  <c r="F109" i="3" s="1"/>
  <c r="E110" i="3"/>
  <c r="E109" i="3" s="1"/>
  <c r="E99" i="3" s="1"/>
  <c r="E98" i="3" s="1"/>
  <c r="F102" i="3"/>
  <c r="E102" i="3"/>
  <c r="F95" i="3"/>
  <c r="F94" i="3" s="1"/>
  <c r="E95" i="3"/>
  <c r="E94" i="3" s="1"/>
  <c r="F91" i="3"/>
  <c r="E91" i="3"/>
  <c r="E90" i="3" s="1"/>
  <c r="F90" i="3"/>
  <c r="F89" i="3"/>
  <c r="F87" i="3"/>
  <c r="F82" i="3" s="1"/>
  <c r="E82" i="3"/>
  <c r="F80" i="3"/>
  <c r="E80" i="3"/>
  <c r="E79" i="3"/>
  <c r="E70" i="3" s="1"/>
  <c r="F71" i="3"/>
  <c r="F70" i="3"/>
  <c r="F67" i="3"/>
  <c r="F62" i="3" s="1"/>
  <c r="F63" i="3"/>
  <c r="E62" i="3"/>
  <c r="F59" i="3"/>
  <c r="F57" i="3" s="1"/>
  <c r="F56" i="3" s="1"/>
  <c r="F58" i="3"/>
  <c r="E57" i="3"/>
  <c r="F55" i="3"/>
  <c r="F54" i="3" s="1"/>
  <c r="E54" i="3"/>
  <c r="F53" i="3"/>
  <c r="F52" i="3" s="1"/>
  <c r="E52" i="3"/>
  <c r="F49" i="3"/>
  <c r="E49" i="3"/>
  <c r="F48" i="3"/>
  <c r="E48" i="3"/>
  <c r="E47" i="3" s="1"/>
  <c r="F34" i="3"/>
  <c r="F33" i="3" s="1"/>
  <c r="E34" i="3"/>
  <c r="E33" i="3"/>
  <c r="F30" i="3"/>
  <c r="E30" i="3"/>
  <c r="F28" i="3"/>
  <c r="E28" i="3"/>
  <c r="E27" i="3" s="1"/>
  <c r="F27" i="3"/>
  <c r="F25" i="3"/>
  <c r="E25" i="3"/>
  <c r="E24" i="3" s="1"/>
  <c r="F24" i="3"/>
  <c r="F22" i="3"/>
  <c r="F21" i="3" s="1"/>
  <c r="E22" i="3"/>
  <c r="E21" i="3" s="1"/>
  <c r="F18" i="3"/>
  <c r="F11" i="3" s="1"/>
  <c r="E18" i="3"/>
  <c r="F15" i="3"/>
  <c r="E15" i="3"/>
  <c r="F12" i="3"/>
  <c r="E12" i="3"/>
  <c r="H13" i="8"/>
  <c r="H12" i="8"/>
  <c r="H9" i="8"/>
  <c r="G11" i="8"/>
  <c r="F11" i="8"/>
  <c r="G8" i="8"/>
  <c r="G14" i="8" s="1"/>
  <c r="F8" i="8"/>
  <c r="F14" i="8" s="1"/>
  <c r="F37" i="3" l="1"/>
  <c r="C10" i="9"/>
  <c r="C26" i="9"/>
  <c r="G64" i="7"/>
  <c r="G87" i="7"/>
  <c r="G73" i="7" s="1"/>
  <c r="G63" i="7" s="1"/>
  <c r="G106" i="7" s="1"/>
  <c r="G9" i="7"/>
  <c r="G183" i="7"/>
  <c r="G165" i="7"/>
  <c r="G164" i="7" s="1"/>
  <c r="E56" i="3"/>
  <c r="E11" i="3"/>
  <c r="E37" i="3" s="1"/>
  <c r="F47" i="3"/>
  <c r="F46" i="3" s="1"/>
  <c r="E10" i="3"/>
  <c r="E46" i="3"/>
  <c r="E114" i="3" s="1"/>
  <c r="F10" i="3"/>
  <c r="E10" i="7"/>
  <c r="F10" i="7"/>
  <c r="E14" i="7"/>
  <c r="F14" i="7"/>
  <c r="E16" i="7"/>
  <c r="F16" i="7"/>
  <c r="E19" i="7"/>
  <c r="E18" i="7" s="1"/>
  <c r="F21" i="7"/>
  <c r="E32" i="7"/>
  <c r="F33" i="7"/>
  <c r="E36" i="7"/>
  <c r="F36" i="7"/>
  <c r="E38" i="7"/>
  <c r="F39" i="7"/>
  <c r="E41" i="7"/>
  <c r="E40" i="7" s="1"/>
  <c r="F43" i="7"/>
  <c r="E65" i="7"/>
  <c r="F65" i="7"/>
  <c r="E69" i="7"/>
  <c r="F69" i="7"/>
  <c r="E71" i="7"/>
  <c r="F71" i="7"/>
  <c r="E74" i="7"/>
  <c r="F74" i="7"/>
  <c r="E79" i="7"/>
  <c r="F79" i="7"/>
  <c r="E87" i="7"/>
  <c r="F87" i="7"/>
  <c r="E97" i="7"/>
  <c r="F97" i="7"/>
  <c r="E114" i="7"/>
  <c r="F114" i="7"/>
  <c r="E118" i="7"/>
  <c r="F118" i="7"/>
  <c r="E120" i="7"/>
  <c r="F120" i="7"/>
  <c r="E123" i="7"/>
  <c r="F123" i="7"/>
  <c r="E128" i="7"/>
  <c r="F133" i="7"/>
  <c r="E136" i="7"/>
  <c r="F136" i="7"/>
  <c r="E148" i="7"/>
  <c r="F148" i="7"/>
  <c r="E157" i="7"/>
  <c r="E156" i="7" s="1"/>
  <c r="F157" i="7"/>
  <c r="F156" i="7" s="1"/>
  <c r="E160" i="7"/>
  <c r="F160" i="7"/>
  <c r="E166" i="7"/>
  <c r="F166" i="7"/>
  <c r="E173" i="7"/>
  <c r="F173" i="7"/>
  <c r="E184" i="7"/>
  <c r="F184" i="7"/>
  <c r="E188" i="7"/>
  <c r="F188" i="7"/>
  <c r="E190" i="7"/>
  <c r="F190" i="7"/>
  <c r="E194" i="7"/>
  <c r="F196" i="7"/>
  <c r="F198" i="7"/>
  <c r="E199" i="7"/>
  <c r="G199" i="7" s="1"/>
  <c r="E203" i="7"/>
  <c r="E207" i="7"/>
  <c r="G207" i="7" s="1"/>
  <c r="F211" i="7"/>
  <c r="E212" i="7"/>
  <c r="G212" i="7" s="1"/>
  <c r="E215" i="7"/>
  <c r="G215" i="7" s="1"/>
  <c r="F218" i="7"/>
  <c r="E225" i="7"/>
  <c r="E227" i="7"/>
  <c r="E226" i="7" s="1"/>
  <c r="F227" i="7"/>
  <c r="F226" i="7" s="1"/>
  <c r="E230" i="7"/>
  <c r="F230" i="7"/>
  <c r="F242" i="7"/>
  <c r="F241" i="7" s="1"/>
  <c r="F240" i="7" s="1"/>
  <c r="E252" i="7"/>
  <c r="F253" i="7"/>
  <c r="E256" i="7"/>
  <c r="F256" i="7"/>
  <c r="E258" i="7"/>
  <c r="F259" i="7"/>
  <c r="E261" i="7"/>
  <c r="E260" i="7" s="1"/>
  <c r="F263" i="7"/>
  <c r="E275" i="7"/>
  <c r="F276" i="7"/>
  <c r="E279" i="7"/>
  <c r="F279" i="7"/>
  <c r="E281" i="7"/>
  <c r="F282" i="7"/>
  <c r="E284" i="7"/>
  <c r="F286" i="7"/>
  <c r="E289" i="7"/>
  <c r="F290" i="7"/>
  <c r="E297" i="7"/>
  <c r="F297" i="7"/>
  <c r="E308" i="7"/>
  <c r="F308" i="7"/>
  <c r="E317" i="7"/>
  <c r="E316" i="7" s="1"/>
  <c r="F317" i="7"/>
  <c r="F316" i="7" s="1"/>
  <c r="E321" i="7"/>
  <c r="E320" i="7" s="1"/>
  <c r="F321" i="7"/>
  <c r="F320" i="7" s="1"/>
  <c r="E326" i="7"/>
  <c r="F326" i="7"/>
  <c r="E333" i="7"/>
  <c r="F333" i="7"/>
  <c r="E344" i="7"/>
  <c r="F345" i="7"/>
  <c r="E348" i="7"/>
  <c r="F348" i="7"/>
  <c r="E350" i="7"/>
  <c r="F351" i="7"/>
  <c r="E353" i="7"/>
  <c r="E352" i="7" s="1"/>
  <c r="F355" i="7"/>
  <c r="G22" i="3"/>
  <c r="G21" i="3" s="1"/>
  <c r="F353" i="7" l="1"/>
  <c r="F352" i="7" s="1"/>
  <c r="G355" i="7"/>
  <c r="G353" i="7" s="1"/>
  <c r="G352" i="7" s="1"/>
  <c r="F289" i="7"/>
  <c r="G290" i="7"/>
  <c r="G289" i="7" s="1"/>
  <c r="F281" i="7"/>
  <c r="G282" i="7"/>
  <c r="G281" i="7" s="1"/>
  <c r="F275" i="7"/>
  <c r="G276" i="7"/>
  <c r="G275" i="7" s="1"/>
  <c r="F258" i="7"/>
  <c r="G259" i="7"/>
  <c r="G258" i="7" s="1"/>
  <c r="F252" i="7"/>
  <c r="G253" i="7"/>
  <c r="G252" i="7" s="1"/>
  <c r="F193" i="7"/>
  <c r="G196" i="7"/>
  <c r="F128" i="7"/>
  <c r="G133" i="7"/>
  <c r="G128" i="7" s="1"/>
  <c r="G122" i="7" s="1"/>
  <c r="G112" i="7" s="1"/>
  <c r="G176" i="7" s="1"/>
  <c r="F41" i="7"/>
  <c r="F40" i="7" s="1"/>
  <c r="G43" i="7"/>
  <c r="G41" i="7" s="1"/>
  <c r="G40" i="7" s="1"/>
  <c r="F19" i="7"/>
  <c r="F18" i="7" s="1"/>
  <c r="G21" i="7"/>
  <c r="G19" i="7" s="1"/>
  <c r="G18" i="7" s="1"/>
  <c r="G8" i="7" s="1"/>
  <c r="G24" i="7" s="1"/>
  <c r="E218" i="7"/>
  <c r="G225" i="7"/>
  <c r="G218" i="7" s="1"/>
  <c r="E198" i="7"/>
  <c r="G203" i="7"/>
  <c r="G198" i="7" s="1"/>
  <c r="E193" i="7"/>
  <c r="G194" i="7"/>
  <c r="G193" i="7" s="1"/>
  <c r="F206" i="7"/>
  <c r="G211" i="7"/>
  <c r="G206" i="7" s="1"/>
  <c r="G192" i="7" s="1"/>
  <c r="G182" i="7" s="1"/>
  <c r="E274" i="7"/>
  <c r="F350" i="7"/>
  <c r="G351" i="7"/>
  <c r="G350" i="7" s="1"/>
  <c r="F344" i="7"/>
  <c r="G345" i="7"/>
  <c r="G344" i="7" s="1"/>
  <c r="G343" i="7" s="1"/>
  <c r="F284" i="7"/>
  <c r="F283" i="7" s="1"/>
  <c r="F273" i="7" s="1"/>
  <c r="F336" i="7" s="1"/>
  <c r="G286" i="7"/>
  <c r="G284" i="7" s="1"/>
  <c r="G283" i="7" s="1"/>
  <c r="F261" i="7"/>
  <c r="F260" i="7" s="1"/>
  <c r="G263" i="7"/>
  <c r="G261" i="7" s="1"/>
  <c r="G260" i="7" s="1"/>
  <c r="F38" i="7"/>
  <c r="F31" i="7" s="1"/>
  <c r="F30" i="7" s="1"/>
  <c r="F46" i="7" s="1"/>
  <c r="G39" i="7"/>
  <c r="G38" i="7" s="1"/>
  <c r="F32" i="7"/>
  <c r="G33" i="7"/>
  <c r="G32" i="7" s="1"/>
  <c r="G31" i="7" s="1"/>
  <c r="F325" i="7"/>
  <c r="F324" i="7" s="1"/>
  <c r="E324" i="7"/>
  <c r="F192" i="7"/>
  <c r="F182" i="7" s="1"/>
  <c r="E113" i="7"/>
  <c r="E73" i="7"/>
  <c r="E63" i="7" s="1"/>
  <c r="E106" i="7" s="1"/>
  <c r="F64" i="7"/>
  <c r="E165" i="7"/>
  <c r="E164" i="7" s="1"/>
  <c r="F183" i="7"/>
  <c r="F9" i="7"/>
  <c r="F8" i="7" s="1"/>
  <c r="F24" i="7" s="1"/>
  <c r="E325" i="7"/>
  <c r="E183" i="7"/>
  <c r="E9" i="7"/>
  <c r="E8" i="7" s="1"/>
  <c r="E24" i="7" s="1"/>
  <c r="F114" i="3"/>
  <c r="F343" i="7"/>
  <c r="F342" i="7" s="1"/>
  <c r="F358" i="7" s="1"/>
  <c r="F251" i="7"/>
  <c r="E283" i="7"/>
  <c r="E273" i="7" s="1"/>
  <c r="E336" i="7" s="1"/>
  <c r="E251" i="7"/>
  <c r="E250" i="7" s="1"/>
  <c r="E266" i="7" s="1"/>
  <c r="F122" i="7"/>
  <c r="E64" i="7"/>
  <c r="F274" i="7"/>
  <c r="E343" i="7"/>
  <c r="E342" i="7" s="1"/>
  <c r="E358" i="7" s="1"/>
  <c r="E206" i="7"/>
  <c r="E192" i="7" s="1"/>
  <c r="F165" i="7"/>
  <c r="F164" i="7" s="1"/>
  <c r="E122" i="7"/>
  <c r="E112" i="7" s="1"/>
  <c r="F113" i="7"/>
  <c r="F73" i="7"/>
  <c r="E31" i="7"/>
  <c r="E30" i="7" s="1"/>
  <c r="E46" i="7" s="1"/>
  <c r="D18" i="9"/>
  <c r="G30" i="7" l="1"/>
  <c r="G46" i="7" s="1"/>
  <c r="G342" i="7"/>
  <c r="G358" i="7" s="1"/>
  <c r="G251" i="7"/>
  <c r="G250" i="7" s="1"/>
  <c r="G266" i="7" s="1"/>
  <c r="G274" i="7"/>
  <c r="G273" i="7" s="1"/>
  <c r="G336" i="7" s="1"/>
  <c r="F250" i="7"/>
  <c r="F266" i="7" s="1"/>
  <c r="E176" i="7"/>
  <c r="F112" i="7"/>
  <c r="F176" i="7" s="1"/>
  <c r="F63" i="7"/>
  <c r="F106" i="7" s="1"/>
  <c r="E182" i="7"/>
  <c r="G234" i="7" s="1"/>
  <c r="B12" i="5" l="1"/>
  <c r="D34" i="9" l="1"/>
  <c r="D31" i="9"/>
  <c r="D29" i="9"/>
  <c r="D27" i="9"/>
  <c r="D15" i="9"/>
  <c r="D13" i="9"/>
  <c r="D11" i="9"/>
  <c r="D10" i="9" l="1"/>
  <c r="D26" i="9"/>
  <c r="H8" i="8" l="1"/>
  <c r="H11" i="8"/>
  <c r="F21" i="8"/>
  <c r="G21" i="8"/>
  <c r="H21" i="8"/>
  <c r="H14" i="8" l="1"/>
  <c r="H22" i="8" s="1"/>
  <c r="H28" i="8" s="1"/>
  <c r="H29" i="8" s="1"/>
  <c r="G22" i="8"/>
  <c r="G28" i="8" s="1"/>
  <c r="G29" i="8" s="1"/>
  <c r="F22" i="8"/>
  <c r="F28" i="8" s="1"/>
  <c r="F29" i="8" s="1"/>
  <c r="G12" i="3" l="1"/>
  <c r="G34" i="3" l="1"/>
  <c r="G33" i="3" s="1"/>
  <c r="G18" i="3"/>
  <c r="G15" i="3"/>
  <c r="G25" i="3"/>
  <c r="G24" i="3" s="1"/>
  <c r="G30" i="3"/>
  <c r="G28" i="3"/>
  <c r="G11" i="3" l="1"/>
  <c r="G27" i="3"/>
  <c r="G54" i="3"/>
  <c r="G52" i="3"/>
  <c r="G48" i="3"/>
  <c r="G109" i="3"/>
  <c r="G95" i="3"/>
  <c r="G94" i="3" s="1"/>
  <c r="G82" i="3"/>
  <c r="G80" i="3"/>
  <c r="G91" i="3"/>
  <c r="G90" i="3" s="1"/>
  <c r="G37" i="3" l="1"/>
  <c r="G10" i="3"/>
  <c r="G47" i="3"/>
  <c r="G70" i="3"/>
  <c r="G62" i="3"/>
  <c r="G102" i="3"/>
  <c r="G98" i="3" s="1"/>
  <c r="G57" i="3"/>
  <c r="C11" i="5"/>
  <c r="B11" i="5"/>
  <c r="B10" i="5" s="1"/>
  <c r="C10" i="5" l="1"/>
  <c r="D10" i="5" s="1"/>
  <c r="D11" i="5"/>
  <c r="G56" i="3"/>
  <c r="G46" i="3" l="1"/>
  <c r="G114" i="3" s="1"/>
</calcChain>
</file>

<file path=xl/sharedStrings.xml><?xml version="1.0" encoding="utf-8"?>
<sst xmlns="http://schemas.openxmlformats.org/spreadsheetml/2006/main" count="628" uniqueCount="192">
  <si>
    <t>PRIHODI UKUPNO</t>
  </si>
  <si>
    <t>PRIHODI POSLOVANJA</t>
  </si>
  <si>
    <t>RASHODI UKUPNO</t>
  </si>
  <si>
    <t>RAZLIKA - VIŠAK / MANJAK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</si>
  <si>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</si>
  <si>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</si>
  <si>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</si>
  <si>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</si>
  <si>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</si>
  <si>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</si>
  <si>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</si>
  <si>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</si>
  <si>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</si>
  <si>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</si>
  <si>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</si>
  <si>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</si>
  <si>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</si>
  <si>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</si>
  <si>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</si>
  <si>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</si>
  <si>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</si>
  <si>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</si>
  <si>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</si>
  <si>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</si>
  <si>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</si>
  <si>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</si>
  <si>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</si>
  <si>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</si>
  <si>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</si>
  <si>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</si>
  <si>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</si>
  <si>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</si>
  <si>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</si>
  <si>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</si>
  <si>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</si>
  <si>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</si>
  <si>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</si>
  <si>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</si>
  <si>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</si>
  <si>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Naziv</t>
  </si>
  <si>
    <t>Plaće (bruto)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</si>
  <si>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</si>
  <si>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</si>
  <si>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</si>
  <si>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</si>
  <si>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</si>
  <si>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</si>
  <si>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</si>
  <si>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</si>
  <si>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</si>
  <si>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</si>
  <si>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</si>
  <si>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</si>
  <si>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</si>
  <si>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</si>
  <si>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</si>
  <si>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</si>
  <si>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</si>
  <si>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</si>
  <si>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</si>
  <si>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</si>
  <si>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</si>
  <si>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</si>
  <si>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</si>
  <si>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</si>
  <si>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</si>
  <si>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</si>
  <si>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 upotrebu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</si>
  <si>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</si>
  <si>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</si>
  <si>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</si>
  <si>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</si>
  <si>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</si>
  <si>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</si>
  <si>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</si>
  <si>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Intelektualne i osobne usluge</t>
  </si>
  <si>
    <t>Računalne usluge</t>
  </si>
  <si>
    <t>Ostale usluge</t>
  </si>
  <si>
    <t>Naknada troškova osobama izvan radnog odnosa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</si>
  <si>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</si>
  <si>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</si>
  <si>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</si>
  <si>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</si>
  <si>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</si>
  <si>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</si>
  <si>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</si>
  <si>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</si>
  <si>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</si>
  <si>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</si>
  <si>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</si>
  <si>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</si>
  <si>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</si>
  <si>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</si>
  <si>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</si>
  <si>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</si>
  <si>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</si>
  <si>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</si>
  <si>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UKUPNO:</t>
  </si>
  <si>
    <t>ŠKOLSTVO1013</t>
  </si>
  <si>
    <t>09 Obrazovanje</t>
  </si>
  <si>
    <t>0912 Osnovno obrazovanje</t>
  </si>
  <si>
    <t>096 Dodatne usluge u obrazovanju</t>
  </si>
  <si>
    <t>098 Usluge obrazovanja koje nisu drugdje
svrstane</t>
  </si>
  <si>
    <t>Pomoći EU</t>
  </si>
  <si>
    <t>Nakn.trošk.osobama izvan rad.odn.</t>
  </si>
  <si>
    <t>Nakn.trošk.osobama izvan radnog odnosa</t>
  </si>
  <si>
    <t>UKUPNO RASHODI</t>
  </si>
  <si>
    <t>Pomoći proračnskim korisnicma iz proračuna koji im nije nadležan</t>
  </si>
  <si>
    <t>Tekuće pomoći proraračnskim korisnicima iz proraučuna koji im nije nadležan</t>
  </si>
  <si>
    <t>Kapitalne pomoći proračunskim korisnicma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</si>
  <si>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</si>
  <si>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</si>
  <si>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</si>
  <si>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Prihodi po posebnim propisima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</si>
  <si>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</si>
  <si>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</si>
  <si>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</si>
  <si>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</si>
  <si>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</si>
  <si>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</si>
  <si>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</si>
  <si>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</si>
  <si>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</si>
  <si>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</si>
  <si>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neifnancijske imovine</t>
  </si>
  <si>
    <t>UKUPNO PRIHODI</t>
  </si>
  <si>
    <t>Naknade za prijevoz, za rad na terenu i odvojeni život</t>
  </si>
  <si>
    <t>Aktivnost A101314</t>
  </si>
  <si>
    <t>Vlastiti i ostali prihodi</t>
  </si>
  <si>
    <t>Aktivnost A101301</t>
  </si>
  <si>
    <t>Decentralizirana sredstva</t>
  </si>
  <si>
    <t>Osnovno školstvo</t>
  </si>
  <si>
    <t>Ostali izdaci za osnovne škole</t>
  </si>
  <si>
    <t xml:space="preserve">Pomoći proračnunu iz drugih proračuna </t>
  </si>
  <si>
    <t xml:space="preserve">Tekuće pomoći proraračunu iz drugih proračuna </t>
  </si>
  <si>
    <t xml:space="preserve">Kapitalne pomoći proraračunu iz drugih proračuna </t>
  </si>
  <si>
    <t>Ostali nespomenuti prihodi</t>
  </si>
  <si>
    <t>PRIJENOS VIŠKA / MANJKA U SLJEDEĆE RAZDOBLJE</t>
  </si>
  <si>
    <t>PRIJENOS VIŠKA / MANJKA IZ PRETHODNE(IH) GODINE</t>
  </si>
  <si>
    <t>VIŠAK / MANJAK + NETO FINANCIRANJE + PRIJENOS VIŠKA / MANJKA IZ PRETHODNE(IH) GODINE - PRIJENOS VIŠKA / MANJKA U SLJEDEĆE RAZDOBLJE</t>
  </si>
  <si>
    <t xml:space="preserve">C) PRENESENI VIŠAK ILI PRENESENI MANJAK </t>
  </si>
  <si>
    <t>5 IZDACI ZA FINANCIJSKU IMOVINU I OTPLATE ZAJMOVA</t>
  </si>
  <si>
    <t>8 PRIMICI OD FINANCIJSKE IMOVINE I ZADUŽIVANJA</t>
  </si>
  <si>
    <t>4 RASHODI ZA NABAVU NEFINANCIJSKE IMOVINE</t>
  </si>
  <si>
    <t>3 RASHODI  POSLOVANJA</t>
  </si>
  <si>
    <t>7 PRIHODI OD PRODAJE NEFINANCIJSKE IMOVINE</t>
  </si>
  <si>
    <t>6 PRIHODI POSLOVANJA</t>
  </si>
  <si>
    <t xml:space="preserve">  31 Vlastiti prihodi</t>
  </si>
  <si>
    <t>3 Vlastiti prihodi</t>
  </si>
  <si>
    <t xml:space="preserve">  11 Opći prihodi i primici</t>
  </si>
  <si>
    <t>1 Opći prihodi i primici</t>
  </si>
  <si>
    <t>Brojčana oznaka i naziv</t>
  </si>
  <si>
    <t>RASHODI POSLOVANJA PREMA IZVORIMA FINANCIRANJA</t>
  </si>
  <si>
    <t xml:space="preserve">  52 Ostale pomoći</t>
  </si>
  <si>
    <t>5 Pomoći</t>
  </si>
  <si>
    <t xml:space="preserve">  43 Ostali prihodi za posebne namjene</t>
  </si>
  <si>
    <t>4 Prihodi za posebne namjene</t>
  </si>
  <si>
    <t>PRIHODI POSLOVANJA PREMA IZVORIMA FINANCIRANJA</t>
  </si>
  <si>
    <t>Plan
za 2024.</t>
  </si>
  <si>
    <t>44 Decentralizirana sredstva</t>
  </si>
  <si>
    <t xml:space="preserve">  51 Pomoći EU</t>
  </si>
  <si>
    <t xml:space="preserve"> 44 Decentralizirana sredstva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</si>
  <si>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</si>
  <si>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</si>
  <si>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</si>
  <si>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</si>
  <si>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</si>
  <si>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Plan 2024.</t>
  </si>
  <si>
    <t>Rebalans plana 2024.</t>
  </si>
  <si>
    <t xml:space="preserve">REBALANS FINANCIJSKOG PLANA PRORAČUNSKOG KORISNIKA JEDINICE LOKALNE I PODRUČNE (REGIONALNE) SAMOUPRAVE ZA 2024. </t>
  </si>
  <si>
    <t>REBALANS FINANCIJSKOG PLANA PRORAČUNSKOG KORISNIKA JEDINICE LOKALNE I PODRUČNE (REGIONALNE) SAMOUPRAVE ZA 2024.</t>
  </si>
  <si>
    <t>REBALANS FINANCIJSKOG PLANA PRORAČUNSKOG KORISNIKA JEDINICE LOKALNE I PODRUČNE (REGIONALNE) SAMOUPRAVE ZA 2024. GODINU</t>
  </si>
  <si>
    <t>REBALANS FINANCIJSKOG PLANA PRORAČUNSKOG KORISNIKA JEDINICE LOKALNE I PODRUČNE (REGIONALNE) SAMOUPRAVE ZA 2024.  GODINU</t>
  </si>
  <si>
    <t>Rebalans 2024.</t>
  </si>
  <si>
    <t>Aktivnost A101319</t>
  </si>
  <si>
    <t>Asistenti u nastavi</t>
  </si>
  <si>
    <t>Aktivnost T100117</t>
  </si>
  <si>
    <t>Projekt ''Škole jednakih mogućnosti''</t>
  </si>
  <si>
    <t>Rashodi za dodatna ulaganja na nefinacijskoj imovini</t>
  </si>
  <si>
    <t>Dodatna ulaganja na građevinskim objektima</t>
  </si>
  <si>
    <t>OŠ DR. VINKA ŽGANCA VRATIŠINEC</t>
  </si>
  <si>
    <t>Prihodi od imovine</t>
  </si>
  <si>
    <t>Prihodi od financijske imovine</t>
  </si>
  <si>
    <t>Kamate na oročena sredstva i depozite po viđenju</t>
  </si>
  <si>
    <t>povećanje-smanjenje 2024</t>
  </si>
  <si>
    <t>povećanje - smanjenje 2024.</t>
  </si>
  <si>
    <t>Aktivnost A101344</t>
  </si>
  <si>
    <t>Izgradnja, rekonstrukcija i opremanje osnovnih i srednjih škola ( NPOO )</t>
  </si>
  <si>
    <t>Kapitalni izdaci za OŠ</t>
  </si>
  <si>
    <t>Građevinski objekti</t>
  </si>
  <si>
    <t>Poslovni objekti</t>
  </si>
  <si>
    <t>Aktivnost A101305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</si>
</sst>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 applyProtection="1">
      <alignment horizontal="left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0" fillId="8" borderId="3" xfId="0" applyNumberFormat="1" applyFont="1" applyFill="1" applyBorder="1" applyAlignment="1" applyProtection="1">
      <alignment horizontal="left" vertical="center" wrapText="1"/>
    </xf>
    <xf numFmtId="0" fontId="8" fillId="8" borderId="3" xfId="0" applyNumberFormat="1" applyFont="1" applyFill="1" applyBorder="1" applyAlignment="1" applyProtection="1">
      <alignment horizontal="left" vertical="center" wrapText="1"/>
    </xf>
    <xf numFmtId="0" fontId="8" fillId="8" borderId="3" xfId="0" quotePrefix="1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/>
    </xf>
    <xf numFmtId="0" fontId="10" fillId="9" borderId="3" xfId="0" applyNumberFormat="1" applyFont="1" applyFill="1" applyBorder="1" applyAlignment="1" applyProtection="1">
      <alignment horizontal="left" vertical="center" wrapText="1"/>
    </xf>
    <xf numFmtId="0" fontId="8" fillId="9" borderId="3" xfId="0" applyNumberFormat="1" applyFont="1" applyFill="1" applyBorder="1" applyAlignment="1" applyProtection="1">
      <alignment horizontal="left" vertical="center" wrapText="1"/>
    </xf>
    <xf numFmtId="0" fontId="8" fillId="9" borderId="1" xfId="0" applyNumberFormat="1" applyFont="1" applyFill="1" applyBorder="1" applyAlignment="1" applyProtection="1">
      <alignment horizontal="left" vertical="center" wrapText="1"/>
    </xf>
    <xf numFmtId="0" fontId="8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8" fillId="6" borderId="3" xfId="0" applyNumberFormat="1" applyFont="1" applyFill="1" applyBorder="1" applyAlignment="1" applyProtection="1">
      <alignment horizontal="left" vertical="center" wrapText="1"/>
    </xf>
    <xf numFmtId="0" fontId="10" fillId="6" borderId="3" xfId="0" quotePrefix="1" applyFont="1" applyFill="1" applyBorder="1" applyAlignment="1">
      <alignment horizontal="left" vertical="center"/>
    </xf>
    <xf numFmtId="0" fontId="15" fillId="6" borderId="3" xfId="0" quotePrefix="1" applyFont="1" applyFill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 wrapTex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10" fillId="6" borderId="4" xfId="0" quotePrefix="1" applyFont="1" applyFill="1" applyBorder="1" applyAlignment="1">
      <alignment horizontal="left" vertical="center"/>
    </xf>
    <xf numFmtId="0" fontId="0" fillId="0" borderId="0" xfId="0" applyBorder="1"/>
    <xf numFmtId="2" fontId="3" fillId="2" borderId="4" xfId="0" applyNumberFormat="1" applyFont="1" applyFill="1" applyBorder="1" applyAlignment="1">
      <alignment horizontal="right"/>
    </xf>
    <xf numFmtId="2" fontId="6" fillId="6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2" fontId="3" fillId="2" borderId="3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5" borderId="1" xfId="0" applyFont="1" applyFill="1" applyBorder="1"/>
    <xf numFmtId="0" fontId="16" fillId="0" borderId="1" xfId="0" applyFont="1" applyBorder="1"/>
    <xf numFmtId="2" fontId="16" fillId="0" borderId="3" xfId="0" applyNumberFormat="1" applyFont="1" applyBorder="1"/>
    <xf numFmtId="0" fontId="16" fillId="0" borderId="3" xfId="0" applyFont="1" applyBorder="1"/>
    <xf numFmtId="0" fontId="16" fillId="0" borderId="3" xfId="0" applyFont="1" applyBorder="1" applyAlignment="1">
      <alignment horizontal="left"/>
    </xf>
    <xf numFmtId="0" fontId="16" fillId="5" borderId="3" xfId="0" applyFont="1" applyFill="1" applyBorder="1"/>
    <xf numFmtId="0" fontId="16" fillId="5" borderId="3" xfId="0" applyFont="1" applyFill="1" applyBorder="1" applyAlignment="1">
      <alignment horizontal="left"/>
    </xf>
    <xf numFmtId="0" fontId="16" fillId="2" borderId="3" xfId="0" applyFont="1" applyFill="1" applyBorder="1"/>
    <xf numFmtId="0" fontId="16" fillId="2" borderId="3" xfId="0" applyFont="1" applyFill="1" applyBorder="1" applyAlignment="1">
      <alignment horizontal="left"/>
    </xf>
    <xf numFmtId="0" fontId="16" fillId="9" borderId="3" xfId="0" applyFont="1" applyFill="1" applyBorder="1"/>
    <xf numFmtId="0" fontId="16" fillId="9" borderId="3" xfId="0" applyFont="1" applyFill="1" applyBorder="1" applyAlignment="1">
      <alignment horizontal="left"/>
    </xf>
    <xf numFmtId="0" fontId="16" fillId="10" borderId="3" xfId="0" applyFont="1" applyFill="1" applyBorder="1"/>
    <xf numFmtId="0" fontId="16" fillId="1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0" fillId="9" borderId="3" xfId="0" applyNumberFormat="1" applyFill="1" applyBorder="1"/>
    <xf numFmtId="4" fontId="3" fillId="5" borderId="3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0" fontId="10" fillId="7" borderId="3" xfId="0" quotePrefix="1" applyFont="1" applyFill="1" applyBorder="1" applyAlignment="1">
      <alignment horizontal="left" vertical="center"/>
    </xf>
    <xf numFmtId="0" fontId="15" fillId="7" borderId="3" xfId="0" quotePrefix="1" applyFont="1" applyFill="1" applyBorder="1" applyAlignment="1">
      <alignment horizontal="left" vertical="center"/>
    </xf>
    <xf numFmtId="4" fontId="6" fillId="7" borderId="3" xfId="0" applyNumberFormat="1" applyFont="1" applyFill="1" applyBorder="1" applyAlignment="1">
      <alignment horizontal="right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0" fillId="4" borderId="1" xfId="0" quotePrefix="1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3" fontId="10" fillId="3" borderId="1" xfId="0" quotePrefix="1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0" fillId="5" borderId="3" xfId="0" applyNumberFormat="1" applyFont="1" applyFill="1" applyBorder="1" applyAlignment="1" applyProtection="1">
      <alignment vertical="center" wrapText="1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0" fillId="0" borderId="3" xfId="0" applyBorder="1"/>
    <xf numFmtId="0" fontId="18" fillId="0" borderId="0" xfId="0" applyFont="1"/>
    <xf numFmtId="0" fontId="6" fillId="11" borderId="4" xfId="0" applyNumberFormat="1" applyFont="1" applyFill="1" applyBorder="1" applyAlignment="1" applyProtection="1">
      <alignment horizontal="left" vertical="center" wrapText="1"/>
    </xf>
    <xf numFmtId="2" fontId="6" fillId="11" borderId="4" xfId="0" applyNumberFormat="1" applyFont="1" applyFill="1" applyBorder="1" applyAlignment="1">
      <alignment horizontal="right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4" fontId="6" fillId="11" borderId="4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/>
    </xf>
    <xf numFmtId="2" fontId="3" fillId="12" borderId="4" xfId="0" applyNumberFormat="1" applyFont="1" applyFill="1" applyBorder="1" applyAlignment="1">
      <alignment horizontal="right"/>
    </xf>
    <xf numFmtId="2" fontId="6" fillId="4" borderId="3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6" borderId="3" xfId="0" applyNumberFormat="1" applyFont="1" applyFill="1" applyBorder="1" applyAlignment="1" applyProtection="1">
      <alignment horizontal="left" vertical="center" wrapText="1"/>
    </xf>
    <xf numFmtId="0" fontId="3" fillId="6" borderId="4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4" fontId="16" fillId="9" borderId="3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16" fillId="5" borderId="3" xfId="0" applyNumberFormat="1" applyFont="1" applyFill="1" applyBorder="1"/>
    <xf numFmtId="4" fontId="16" fillId="0" borderId="3" xfId="0" applyNumberFormat="1" applyFont="1" applyBorder="1"/>
    <xf numFmtId="4" fontId="16" fillId="2" borderId="3" xfId="0" applyNumberFormat="1" applyFont="1" applyFill="1" applyBorder="1"/>
    <xf numFmtId="4" fontId="16" fillId="10" borderId="3" xfId="0" applyNumberFormat="1" applyFont="1" applyFill="1" applyBorder="1"/>
    <xf numFmtId="4" fontId="6" fillId="6" borderId="4" xfId="0" applyNumberFormat="1" applyFont="1" applyFill="1" applyBorder="1" applyAlignment="1" applyProtection="1">
      <alignment horizontal="center" vertical="center" wrapText="1"/>
    </xf>
    <xf numFmtId="4" fontId="3" fillId="5" borderId="3" xfId="0" applyNumberFormat="1" applyFont="1" applyFill="1" applyBorder="1" applyAlignment="1" applyProtection="1">
      <alignment horizontal="right" vertical="center" wrapText="1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6" fillId="11" borderId="1" xfId="0" applyNumberFormat="1" applyFont="1" applyFill="1" applyBorder="1" applyAlignment="1" applyProtection="1">
      <alignment horizontal="left" vertical="center" wrapText="1" indent="1"/>
    </xf>
    <xf numFmtId="0" fontId="6" fillId="11" borderId="2" xfId="0" applyNumberFormat="1" applyFont="1" applyFill="1" applyBorder="1" applyAlignment="1" applyProtection="1">
      <alignment horizontal="left" vertical="center" wrapText="1" indent="1"/>
    </xf>
    <xf numFmtId="0" fontId="6" fillId="11" borderId="4" xfId="0" applyNumberFormat="1" applyFont="1" applyFill="1" applyBorder="1" applyAlignment="1" applyProtection="1">
      <alignment horizontal="left" vertical="center" wrapText="1" indent="1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10" borderId="1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6" fillId="11" borderId="1" xfId="0" applyNumberFormat="1" applyFont="1" applyFill="1" applyBorder="1" applyAlignment="1" applyProtection="1">
      <alignment horizontal="left" vertical="center" wrapText="1"/>
    </xf>
    <xf numFmtId="0" fontId="6" fillId="11" borderId="2" xfId="0" applyNumberFormat="1" applyFont="1" applyFill="1" applyBorder="1" applyAlignment="1" applyProtection="1">
      <alignment horizontal="left" vertical="center" wrapText="1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G13" sqref="G13"/>
    </sheetView>
  </sheetViews>
  <sheetFormatPr defaultRowHeight="15" x14ac:dyDescent="0.25"/>
  <cols>
    <col min="5" max="7" width="25.28515625" customWidth="1"/>
    <col min="8" max="8" width="22.5703125" customWidth="1"/>
  </cols>
  <sheetData>
    <row r="1" spans="1:8" ht="42" customHeight="1" x14ac:dyDescent="0.25">
      <c r="A1" s="189" t="s">
        <v>169</v>
      </c>
      <c r="B1" s="189"/>
      <c r="C1" s="189"/>
      <c r="D1" s="189"/>
      <c r="E1" s="189"/>
      <c r="F1" s="189"/>
      <c r="G1" s="189"/>
      <c r="H1" s="189"/>
    </row>
    <row r="2" spans="1:8" ht="18" x14ac:dyDescent="0.25">
      <c r="A2" s="23"/>
      <c r="B2" s="23"/>
      <c r="C2" s="23"/>
      <c r="D2" s="23"/>
      <c r="E2" s="23"/>
      <c r="F2" s="202" t="s">
        <v>180</v>
      </c>
      <c r="G2" s="203"/>
      <c r="H2" s="203"/>
    </row>
    <row r="3" spans="1:8" ht="15.75" x14ac:dyDescent="0.25">
      <c r="A3" s="189" t="s">
        <v>24</v>
      </c>
      <c r="B3" s="189"/>
      <c r="C3" s="189"/>
      <c r="D3" s="189"/>
      <c r="E3" s="189"/>
      <c r="F3" s="189"/>
      <c r="G3" s="189"/>
      <c r="H3" s="196"/>
    </row>
    <row r="4" spans="1:8" ht="18" x14ac:dyDescent="0.25">
      <c r="A4" s="23"/>
      <c r="B4" s="23"/>
      <c r="C4" s="23"/>
      <c r="D4" s="23"/>
      <c r="E4" s="23"/>
      <c r="F4" s="23"/>
      <c r="G4" s="23"/>
      <c r="H4" s="5"/>
    </row>
    <row r="5" spans="1:8" ht="15.75" x14ac:dyDescent="0.25">
      <c r="A5" s="189" t="s">
        <v>33</v>
      </c>
      <c r="B5" s="190"/>
      <c r="C5" s="190"/>
      <c r="D5" s="190"/>
      <c r="E5" s="190"/>
      <c r="F5" s="190"/>
      <c r="G5" s="190"/>
      <c r="H5" s="190"/>
    </row>
    <row r="6" spans="1:8" ht="18" x14ac:dyDescent="0.25">
      <c r="A6" s="1"/>
      <c r="B6" s="2"/>
      <c r="C6" s="2"/>
      <c r="D6" s="2"/>
      <c r="E6" s="6"/>
      <c r="F6" s="7"/>
      <c r="G6" s="7"/>
      <c r="H6" s="7"/>
    </row>
    <row r="7" spans="1:8" ht="25.5" x14ac:dyDescent="0.25">
      <c r="A7" s="26"/>
      <c r="B7" s="27"/>
      <c r="C7" s="27"/>
      <c r="D7" s="28"/>
      <c r="E7" s="29"/>
      <c r="F7" s="3" t="s">
        <v>167</v>
      </c>
      <c r="G7" s="3" t="s">
        <v>168</v>
      </c>
      <c r="H7" s="3" t="s">
        <v>184</v>
      </c>
    </row>
    <row r="8" spans="1:8" x14ac:dyDescent="0.25">
      <c r="A8" s="184" t="s">
        <v>0</v>
      </c>
      <c r="B8" s="188"/>
      <c r="C8" s="188"/>
      <c r="D8" s="188"/>
      <c r="E8" s="197"/>
      <c r="F8" s="137">
        <f>F9+F10</f>
        <v>601550</v>
      </c>
      <c r="G8" s="137">
        <f>G9+G10</f>
        <v>816915.54</v>
      </c>
      <c r="H8" s="137">
        <f>H9+H10</f>
        <v>215365.54000000004</v>
      </c>
    </row>
    <row r="9" spans="1:8" x14ac:dyDescent="0.25">
      <c r="A9" s="198" t="s">
        <v>146</v>
      </c>
      <c r="B9" s="199"/>
      <c r="C9" s="199"/>
      <c r="D9" s="199"/>
      <c r="E9" s="195"/>
      <c r="F9" s="138">
        <v>601550</v>
      </c>
      <c r="G9" s="138">
        <v>816915.54</v>
      </c>
      <c r="H9" s="138">
        <f>G9-F9</f>
        <v>215365.54000000004</v>
      </c>
    </row>
    <row r="10" spans="1:8" x14ac:dyDescent="0.25">
      <c r="A10" s="200" t="s">
        <v>145</v>
      </c>
      <c r="B10" s="195"/>
      <c r="C10" s="195"/>
      <c r="D10" s="195"/>
      <c r="E10" s="195"/>
      <c r="F10" s="138"/>
      <c r="G10" s="138"/>
      <c r="H10" s="138"/>
    </row>
    <row r="11" spans="1:8" x14ac:dyDescent="0.25">
      <c r="A11" s="32" t="s">
        <v>2</v>
      </c>
      <c r="B11" s="127"/>
      <c r="C11" s="127"/>
      <c r="D11" s="127"/>
      <c r="E11" s="127"/>
      <c r="F11" s="137">
        <f>F12+F13</f>
        <v>601550</v>
      </c>
      <c r="G11" s="137">
        <f>G12+G13</f>
        <v>816735.03</v>
      </c>
      <c r="H11" s="137">
        <f>H12+H13</f>
        <v>215185.02999999997</v>
      </c>
    </row>
    <row r="12" spans="1:8" x14ac:dyDescent="0.25">
      <c r="A12" s="201" t="s">
        <v>144</v>
      </c>
      <c r="B12" s="199"/>
      <c r="C12" s="199"/>
      <c r="D12" s="199"/>
      <c r="E12" s="199"/>
      <c r="F12" s="138">
        <v>597065</v>
      </c>
      <c r="G12" s="138">
        <f>779309.85+22700</f>
        <v>802009.85</v>
      </c>
      <c r="H12" s="138">
        <f>G12-F12</f>
        <v>204944.84999999998</v>
      </c>
    </row>
    <row r="13" spans="1:8" x14ac:dyDescent="0.25">
      <c r="A13" s="194" t="s">
        <v>143</v>
      </c>
      <c r="B13" s="195"/>
      <c r="C13" s="195"/>
      <c r="D13" s="195"/>
      <c r="E13" s="195"/>
      <c r="F13" s="139">
        <v>4485</v>
      </c>
      <c r="G13" s="139">
        <f>37425.18-22700</f>
        <v>14725.18</v>
      </c>
      <c r="H13" s="138">
        <f>G13-F13</f>
        <v>10240.18</v>
      </c>
    </row>
    <row r="14" spans="1:8" x14ac:dyDescent="0.25">
      <c r="A14" s="187" t="s">
        <v>3</v>
      </c>
      <c r="B14" s="188"/>
      <c r="C14" s="188"/>
      <c r="D14" s="188"/>
      <c r="E14" s="188"/>
      <c r="F14" s="137">
        <f>F8-F11</f>
        <v>0</v>
      </c>
      <c r="G14" s="137">
        <f>G8-G11</f>
        <v>180.51000000000931</v>
      </c>
      <c r="H14" s="137">
        <f>H8-H11</f>
        <v>180.51000000006752</v>
      </c>
    </row>
    <row r="15" spans="1:8" ht="18" x14ac:dyDescent="0.25">
      <c r="A15" s="23"/>
      <c r="B15" s="21"/>
      <c r="C15" s="21"/>
      <c r="D15" s="21"/>
      <c r="E15" s="21"/>
      <c r="F15" s="21"/>
      <c r="G15" s="22"/>
      <c r="H15" s="22"/>
    </row>
    <row r="16" spans="1:8" ht="15.75" x14ac:dyDescent="0.25">
      <c r="A16" s="189" t="s">
        <v>34</v>
      </c>
      <c r="B16" s="190"/>
      <c r="C16" s="190"/>
      <c r="D16" s="190"/>
      <c r="E16" s="190"/>
      <c r="F16" s="190"/>
      <c r="G16" s="190"/>
      <c r="H16" s="190"/>
    </row>
    <row r="17" spans="1:8" ht="18" x14ac:dyDescent="0.25">
      <c r="A17" s="23"/>
      <c r="B17" s="21"/>
      <c r="C17" s="21"/>
      <c r="D17" s="21"/>
      <c r="E17" s="21"/>
      <c r="F17" s="21"/>
      <c r="G17" s="22"/>
      <c r="H17" s="22"/>
    </row>
    <row r="18" spans="1:8" ht="25.5" x14ac:dyDescent="0.25">
      <c r="A18" s="26"/>
      <c r="B18" s="27"/>
      <c r="C18" s="27"/>
      <c r="D18" s="28"/>
      <c r="E18" s="29"/>
      <c r="F18" s="3" t="s">
        <v>167</v>
      </c>
      <c r="G18" s="3" t="s">
        <v>168</v>
      </c>
      <c r="H18" s="3" t="s">
        <v>184</v>
      </c>
    </row>
    <row r="19" spans="1:8" x14ac:dyDescent="0.25">
      <c r="A19" s="194" t="s">
        <v>142</v>
      </c>
      <c r="B19" s="195"/>
      <c r="C19" s="195"/>
      <c r="D19" s="195"/>
      <c r="E19" s="195"/>
      <c r="F19" s="31"/>
      <c r="G19" s="31"/>
      <c r="H19" s="31"/>
    </row>
    <row r="20" spans="1:8" x14ac:dyDescent="0.25">
      <c r="A20" s="194" t="s">
        <v>141</v>
      </c>
      <c r="B20" s="195"/>
      <c r="C20" s="195"/>
      <c r="D20" s="195"/>
      <c r="E20" s="195"/>
      <c r="F20" s="31"/>
      <c r="G20" s="31"/>
      <c r="H20" s="31"/>
    </row>
    <row r="21" spans="1:8" x14ac:dyDescent="0.25">
      <c r="A21" s="187" t="s">
        <v>4</v>
      </c>
      <c r="B21" s="188"/>
      <c r="C21" s="188"/>
      <c r="D21" s="188"/>
      <c r="E21" s="188"/>
      <c r="F21" s="30">
        <f>F19-F20</f>
        <v>0</v>
      </c>
      <c r="G21" s="30">
        <f>G19-G20</f>
        <v>0</v>
      </c>
      <c r="H21" s="30">
        <f>H19-H20</f>
        <v>0</v>
      </c>
    </row>
    <row r="22" spans="1:8" x14ac:dyDescent="0.25">
      <c r="A22" s="187" t="s">
        <v>5</v>
      </c>
      <c r="B22" s="188"/>
      <c r="C22" s="188"/>
      <c r="D22" s="188"/>
      <c r="E22" s="188"/>
      <c r="F22" s="30">
        <f>F14+F21</f>
        <v>0</v>
      </c>
      <c r="G22" s="30">
        <f>G14+G21</f>
        <v>180.51000000000931</v>
      </c>
      <c r="H22" s="30">
        <f>H14+H21</f>
        <v>180.51000000006752</v>
      </c>
    </row>
    <row r="23" spans="1:8" ht="18" x14ac:dyDescent="0.25">
      <c r="A23" s="20"/>
      <c r="B23" s="21"/>
      <c r="C23" s="21"/>
      <c r="D23" s="21"/>
      <c r="E23" s="21"/>
      <c r="F23" s="21"/>
      <c r="G23" s="22"/>
      <c r="H23" s="22"/>
    </row>
    <row r="24" spans="1:8" ht="15.75" x14ac:dyDescent="0.25">
      <c r="A24" s="189" t="s">
        <v>140</v>
      </c>
      <c r="B24" s="190"/>
      <c r="C24" s="190"/>
      <c r="D24" s="190"/>
      <c r="E24" s="190"/>
      <c r="F24" s="190"/>
      <c r="G24" s="190"/>
      <c r="H24" s="190"/>
    </row>
    <row r="25" spans="1:8" ht="15.75" x14ac:dyDescent="0.25">
      <c r="A25" s="125"/>
      <c r="B25" s="126"/>
      <c r="C25" s="126"/>
      <c r="D25" s="126"/>
      <c r="E25" s="126"/>
      <c r="F25" s="126"/>
      <c r="G25" s="126"/>
      <c r="H25" s="126"/>
    </row>
    <row r="26" spans="1:8" ht="25.5" x14ac:dyDescent="0.25">
      <c r="A26" s="26"/>
      <c r="B26" s="27"/>
      <c r="C26" s="27"/>
      <c r="D26" s="28"/>
      <c r="E26" s="29"/>
      <c r="F26" s="3" t="s">
        <v>167</v>
      </c>
      <c r="G26" s="3" t="s">
        <v>168</v>
      </c>
      <c r="H26" s="3" t="s">
        <v>184</v>
      </c>
    </row>
    <row r="27" spans="1:8" ht="15" customHeight="1" x14ac:dyDescent="0.25">
      <c r="A27" s="191" t="s">
        <v>138</v>
      </c>
      <c r="B27" s="192"/>
      <c r="C27" s="192"/>
      <c r="D27" s="192"/>
      <c r="E27" s="193"/>
      <c r="F27" s="128">
        <v>0</v>
      </c>
      <c r="G27" s="128">
        <v>0</v>
      </c>
      <c r="H27" s="128">
        <v>0</v>
      </c>
    </row>
    <row r="28" spans="1:8" ht="15" customHeight="1" x14ac:dyDescent="0.25">
      <c r="A28" s="187" t="s">
        <v>137</v>
      </c>
      <c r="B28" s="188"/>
      <c r="C28" s="188"/>
      <c r="D28" s="188"/>
      <c r="E28" s="188"/>
      <c r="F28" s="131">
        <f>F22+F27</f>
        <v>0</v>
      </c>
      <c r="G28" s="131">
        <f>G22+G27</f>
        <v>180.51000000000931</v>
      </c>
      <c r="H28" s="131">
        <f>H22+H27</f>
        <v>180.51000000006752</v>
      </c>
    </row>
    <row r="29" spans="1:8" ht="45" customHeight="1" x14ac:dyDescent="0.25">
      <c r="A29" s="184" t="s">
        <v>139</v>
      </c>
      <c r="B29" s="185"/>
      <c r="C29" s="185"/>
      <c r="D29" s="185"/>
      <c r="E29" s="186"/>
      <c r="F29" s="131">
        <f>F14+F21+F27-F28</f>
        <v>0</v>
      </c>
      <c r="G29" s="131">
        <f>G14+G21+G27-G28</f>
        <v>0</v>
      </c>
      <c r="H29" s="131">
        <f>H14+H21+H27-H28</f>
        <v>0</v>
      </c>
    </row>
    <row r="30" spans="1:8" ht="15.75" x14ac:dyDescent="0.25">
      <c r="A30" s="130"/>
      <c r="B30" s="129"/>
      <c r="C30" s="129"/>
      <c r="D30" s="129"/>
      <c r="E30" s="129"/>
      <c r="F30" s="129"/>
      <c r="G30" s="129"/>
      <c r="H30" s="129"/>
    </row>
    <row r="31" spans="1:8" ht="9" customHeight="1" x14ac:dyDescent="0.25"/>
  </sheetData>
  <mergeCells count="19"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F2:H2"/>
    <mergeCell ref="A29:E29"/>
    <mergeCell ref="A21:E21"/>
    <mergeCell ref="A22:E22"/>
    <mergeCell ref="A24:H24"/>
    <mergeCell ref="A27:E27"/>
    <mergeCell ref="A28:E28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workbookViewId="0">
      <selection activeCell="E2" sqref="E2:G2"/>
    </sheetView>
  </sheetViews>
  <sheetFormatPr defaultRowHeight="15" x14ac:dyDescent="0.25"/>
  <cols>
    <col min="1" max="1" width="7.42578125" bestFit="1" customWidth="1"/>
    <col min="2" max="2" width="13.28515625" customWidth="1"/>
    <col min="3" max="3" width="5.42578125" bestFit="1" customWidth="1"/>
    <col min="4" max="4" width="29.42578125" customWidth="1"/>
    <col min="5" max="7" width="18.7109375" customWidth="1"/>
    <col min="9" max="9" width="10.140625" bestFit="1" customWidth="1"/>
  </cols>
  <sheetData>
    <row r="1" spans="1:9" ht="47.25" customHeight="1" x14ac:dyDescent="0.25">
      <c r="A1" s="189" t="s">
        <v>169</v>
      </c>
      <c r="B1" s="189"/>
      <c r="C1" s="189"/>
      <c r="D1" s="189"/>
      <c r="E1" s="189"/>
      <c r="F1" s="189"/>
      <c r="G1" s="189"/>
    </row>
    <row r="2" spans="1:9" ht="18" customHeight="1" x14ac:dyDescent="0.25">
      <c r="A2" s="4"/>
      <c r="B2" s="4"/>
      <c r="C2" s="4"/>
      <c r="D2" s="4"/>
      <c r="E2" s="163"/>
      <c r="F2" s="163"/>
      <c r="G2" s="4"/>
    </row>
    <row r="3" spans="1:9" ht="15.75" x14ac:dyDescent="0.25">
      <c r="A3" s="189" t="s">
        <v>24</v>
      </c>
      <c r="B3" s="189"/>
      <c r="C3" s="189"/>
      <c r="D3" s="189"/>
      <c r="E3" s="189"/>
      <c r="F3" s="189"/>
      <c r="G3" s="189"/>
    </row>
    <row r="4" spans="1:9" ht="18" x14ac:dyDescent="0.25">
      <c r="A4" s="4"/>
      <c r="B4" s="4"/>
      <c r="C4" s="4"/>
      <c r="D4" s="4"/>
      <c r="E4" s="5"/>
      <c r="F4" s="5"/>
      <c r="G4" s="4"/>
    </row>
    <row r="5" spans="1:9" ht="18" customHeight="1" x14ac:dyDescent="0.25">
      <c r="A5" s="189" t="s">
        <v>7</v>
      </c>
      <c r="B5" s="190"/>
      <c r="C5" s="190"/>
      <c r="D5" s="190"/>
      <c r="E5" s="190"/>
      <c r="F5" s="190"/>
      <c r="G5" s="190"/>
    </row>
    <row r="6" spans="1:9" ht="18" x14ac:dyDescent="0.25">
      <c r="A6" s="4"/>
      <c r="B6" s="4"/>
      <c r="C6" s="4"/>
      <c r="D6" s="4"/>
      <c r="E6" s="5"/>
      <c r="F6" s="5"/>
      <c r="G6" s="4"/>
    </row>
    <row r="7" spans="1:9" ht="15.75" x14ac:dyDescent="0.25">
      <c r="A7" s="189" t="s">
        <v>1</v>
      </c>
      <c r="B7" s="207"/>
      <c r="C7" s="207"/>
      <c r="D7" s="207"/>
      <c r="E7" s="207"/>
      <c r="F7" s="207"/>
      <c r="G7" s="207"/>
    </row>
    <row r="8" spans="1:9" ht="18" x14ac:dyDescent="0.25">
      <c r="A8" s="4"/>
      <c r="B8" s="4"/>
      <c r="C8" s="4"/>
      <c r="D8" s="4"/>
      <c r="E8" s="5"/>
      <c r="F8" s="5"/>
      <c r="G8" s="4"/>
    </row>
    <row r="9" spans="1:9" ht="25.5" x14ac:dyDescent="0.25">
      <c r="A9" s="19" t="s">
        <v>8</v>
      </c>
      <c r="B9" s="18" t="s">
        <v>9</v>
      </c>
      <c r="C9" s="18" t="s">
        <v>10</v>
      </c>
      <c r="D9" s="18" t="s">
        <v>6</v>
      </c>
      <c r="E9" s="19" t="s">
        <v>158</v>
      </c>
      <c r="F9" s="19" t="s">
        <v>168</v>
      </c>
      <c r="G9" s="19" t="s">
        <v>185</v>
      </c>
    </row>
    <row r="10" spans="1:9" ht="15.75" customHeight="1" x14ac:dyDescent="0.25">
      <c r="A10" s="68">
        <v>6</v>
      </c>
      <c r="B10" s="68"/>
      <c r="C10" s="68"/>
      <c r="D10" s="70" t="s">
        <v>11</v>
      </c>
      <c r="E10" s="91">
        <f>SUM(E11+E24+E27+E33)</f>
        <v>601550</v>
      </c>
      <c r="F10" s="91">
        <f>SUM(F11+F24+F27+F33+F21)</f>
        <v>816915.54000000015</v>
      </c>
      <c r="G10" s="91">
        <f>SUM(G11+G24+G27+G33)</f>
        <v>215345.53999999998</v>
      </c>
    </row>
    <row r="11" spans="1:9" ht="38.25" x14ac:dyDescent="0.25">
      <c r="A11" s="63"/>
      <c r="B11" s="63">
        <v>63</v>
      </c>
      <c r="C11" s="64"/>
      <c r="D11" s="41" t="s">
        <v>35</v>
      </c>
      <c r="E11" s="113">
        <f t="shared" ref="E11:F11" si="0">SUM(E15,E18+E12)</f>
        <v>562950</v>
      </c>
      <c r="F11" s="113">
        <f t="shared" si="0"/>
        <v>741382.49000000011</v>
      </c>
      <c r="G11" s="113">
        <f t="shared" ref="G11" si="1">SUM(G15,G18+G12)</f>
        <v>178432.49</v>
      </c>
    </row>
    <row r="12" spans="1:9" ht="25.5" x14ac:dyDescent="0.25">
      <c r="A12" s="59"/>
      <c r="B12" s="60">
        <v>633</v>
      </c>
      <c r="C12" s="60"/>
      <c r="D12" s="40" t="s">
        <v>133</v>
      </c>
      <c r="E12" s="114">
        <f t="shared" ref="E12:F12" si="2">SUM(E13:E14)</f>
        <v>3000</v>
      </c>
      <c r="F12" s="114">
        <f t="shared" si="2"/>
        <v>3100</v>
      </c>
      <c r="G12" s="114">
        <f t="shared" ref="G12" si="3">SUM(G13:G14)</f>
        <v>100</v>
      </c>
    </row>
    <row r="13" spans="1:9" ht="25.5" x14ac:dyDescent="0.25">
      <c r="A13" s="11"/>
      <c r="B13" s="11">
        <v>6331</v>
      </c>
      <c r="C13" s="12"/>
      <c r="D13" s="82" t="s">
        <v>134</v>
      </c>
      <c r="E13" s="94">
        <v>3000</v>
      </c>
      <c r="F13" s="94">
        <v>3100</v>
      </c>
      <c r="G13" s="164">
        <f>F13-E13</f>
        <v>100</v>
      </c>
      <c r="I13" s="183"/>
    </row>
    <row r="14" spans="1:9" ht="25.5" x14ac:dyDescent="0.25">
      <c r="A14" s="11"/>
      <c r="B14" s="11">
        <v>6332</v>
      </c>
      <c r="C14" s="12"/>
      <c r="D14" s="82" t="s">
        <v>135</v>
      </c>
      <c r="E14" s="94"/>
      <c r="F14" s="94"/>
      <c r="G14" s="94"/>
    </row>
    <row r="15" spans="1:9" ht="25.5" x14ac:dyDescent="0.25">
      <c r="A15" s="59"/>
      <c r="B15" s="60">
        <v>636</v>
      </c>
      <c r="C15" s="60"/>
      <c r="D15" s="40" t="s">
        <v>107</v>
      </c>
      <c r="E15" s="114">
        <f t="shared" ref="E15:F15" si="4">SUM(E16:E17)</f>
        <v>559950</v>
      </c>
      <c r="F15" s="114">
        <f t="shared" si="4"/>
        <v>733525.18</v>
      </c>
      <c r="G15" s="114">
        <f t="shared" ref="G15" si="5">SUM(G16:G17)</f>
        <v>173575.18</v>
      </c>
    </row>
    <row r="16" spans="1:9" ht="38.25" x14ac:dyDescent="0.25">
      <c r="A16" s="11"/>
      <c r="B16" s="11">
        <v>6361</v>
      </c>
      <c r="C16" s="12"/>
      <c r="D16" s="71" t="s">
        <v>108</v>
      </c>
      <c r="E16" s="94">
        <v>556000</v>
      </c>
      <c r="F16" s="94">
        <v>730500</v>
      </c>
      <c r="G16" s="164">
        <f t="shared" ref="G16:G17" si="6">F16-E16</f>
        <v>174500</v>
      </c>
    </row>
    <row r="17" spans="1:7" ht="38.25" x14ac:dyDescent="0.25">
      <c r="A17" s="11"/>
      <c r="B17" s="11">
        <v>6362</v>
      </c>
      <c r="C17" s="12"/>
      <c r="D17" s="71" t="s">
        <v>109</v>
      </c>
      <c r="E17" s="94">
        <v>3950</v>
      </c>
      <c r="F17" s="94">
        <v>3025.18</v>
      </c>
      <c r="G17" s="164">
        <f t="shared" si="6"/>
        <v>-924.82000000000016</v>
      </c>
    </row>
    <row r="18" spans="1:7" ht="25.5" x14ac:dyDescent="0.25">
      <c r="A18" s="61"/>
      <c r="B18" s="61">
        <v>638</v>
      </c>
      <c r="C18" s="62"/>
      <c r="D18" s="40" t="s">
        <v>110</v>
      </c>
      <c r="E18" s="115">
        <f t="shared" ref="E18:F18" si="7">SUM(E19:E20)</f>
        <v>0</v>
      </c>
      <c r="F18" s="115">
        <f t="shared" si="7"/>
        <v>4757.3100000000004</v>
      </c>
      <c r="G18" s="115">
        <f t="shared" ref="G18" si="8">SUM(G19:G20)</f>
        <v>4757.3100000000004</v>
      </c>
    </row>
    <row r="19" spans="1:7" ht="25.5" x14ac:dyDescent="0.25">
      <c r="A19" s="11"/>
      <c r="B19" s="11">
        <v>6381</v>
      </c>
      <c r="C19" s="12"/>
      <c r="D19" s="71" t="s">
        <v>111</v>
      </c>
      <c r="E19" s="94"/>
      <c r="F19" s="94">
        <v>4757.3100000000004</v>
      </c>
      <c r="G19" s="164">
        <f>F19-E19</f>
        <v>4757.3100000000004</v>
      </c>
    </row>
    <row r="20" spans="1:7" ht="25.5" x14ac:dyDescent="0.25">
      <c r="A20" s="11"/>
      <c r="B20" s="11">
        <v>6382</v>
      </c>
      <c r="C20" s="12"/>
      <c r="D20" s="71" t="s">
        <v>112</v>
      </c>
      <c r="E20" s="94"/>
      <c r="F20" s="94"/>
      <c r="G20" s="94"/>
    </row>
    <row r="21" spans="1:7" x14ac:dyDescent="0.25">
      <c r="A21" s="63"/>
      <c r="B21" s="63">
        <v>64</v>
      </c>
      <c r="C21" s="64"/>
      <c r="D21" s="41" t="s">
        <v>181</v>
      </c>
      <c r="E21" s="113">
        <f t="shared" ref="E21:G22" si="9">E22</f>
        <v>0</v>
      </c>
      <c r="F21" s="113">
        <f t="shared" si="9"/>
        <v>20</v>
      </c>
      <c r="G21" s="113">
        <f t="shared" si="9"/>
        <v>20</v>
      </c>
    </row>
    <row r="22" spans="1:7" x14ac:dyDescent="0.25">
      <c r="A22" s="59"/>
      <c r="B22" s="60">
        <v>641</v>
      </c>
      <c r="C22" s="60"/>
      <c r="D22" s="40" t="s">
        <v>182</v>
      </c>
      <c r="E22" s="114">
        <f t="shared" si="9"/>
        <v>0</v>
      </c>
      <c r="F22" s="114">
        <f t="shared" si="9"/>
        <v>20</v>
      </c>
      <c r="G22" s="114">
        <f t="shared" si="9"/>
        <v>20</v>
      </c>
    </row>
    <row r="23" spans="1:7" ht="25.5" x14ac:dyDescent="0.25">
      <c r="A23" s="11"/>
      <c r="B23" s="11">
        <v>6413</v>
      </c>
      <c r="C23" s="12"/>
      <c r="D23" s="82" t="s">
        <v>183</v>
      </c>
      <c r="E23" s="94"/>
      <c r="F23" s="94">
        <v>20</v>
      </c>
      <c r="G23" s="164">
        <f>F23-E23</f>
        <v>20</v>
      </c>
    </row>
    <row r="24" spans="1:7" ht="53.25" customHeight="1" x14ac:dyDescent="0.25">
      <c r="A24" s="72"/>
      <c r="B24" s="73">
        <v>65</v>
      </c>
      <c r="C24" s="74"/>
      <c r="D24" s="75" t="s">
        <v>114</v>
      </c>
      <c r="E24" s="116">
        <f t="shared" ref="E24:G24" si="10">SUM(E25)</f>
        <v>7500</v>
      </c>
      <c r="F24" s="116">
        <f t="shared" si="10"/>
        <v>5600</v>
      </c>
      <c r="G24" s="116">
        <f t="shared" si="10"/>
        <v>-1900</v>
      </c>
    </row>
    <row r="25" spans="1:7" x14ac:dyDescent="0.25">
      <c r="A25" s="61"/>
      <c r="B25" s="61">
        <v>652</v>
      </c>
      <c r="C25" s="62"/>
      <c r="D25" s="40" t="s">
        <v>113</v>
      </c>
      <c r="E25" s="114">
        <f t="shared" ref="E25:G25" si="11">SUM(E26:E26)</f>
        <v>7500</v>
      </c>
      <c r="F25" s="114">
        <f t="shared" si="11"/>
        <v>5600</v>
      </c>
      <c r="G25" s="114">
        <f t="shared" si="11"/>
        <v>-1900</v>
      </c>
    </row>
    <row r="26" spans="1:7" x14ac:dyDescent="0.25">
      <c r="A26" s="11"/>
      <c r="B26" s="11">
        <v>6526</v>
      </c>
      <c r="C26" s="12"/>
      <c r="D26" s="71" t="s">
        <v>136</v>
      </c>
      <c r="E26" s="94">
        <v>7500</v>
      </c>
      <c r="F26" s="94">
        <v>5600</v>
      </c>
      <c r="G26" s="164">
        <f>F26-E26</f>
        <v>-1900</v>
      </c>
    </row>
    <row r="27" spans="1:7" ht="44.25" customHeight="1" x14ac:dyDescent="0.25">
      <c r="A27" s="63"/>
      <c r="B27" s="63">
        <v>66</v>
      </c>
      <c r="C27" s="64"/>
      <c r="D27" s="41" t="s">
        <v>115</v>
      </c>
      <c r="E27" s="113">
        <f>SUM(E28,E30)</f>
        <v>3100</v>
      </c>
      <c r="F27" s="113">
        <f>SUM(F28,F30)</f>
        <v>1980</v>
      </c>
      <c r="G27" s="113">
        <f>SUM(G28,G30)</f>
        <v>-1120</v>
      </c>
    </row>
    <row r="28" spans="1:7" ht="38.25" customHeight="1" x14ac:dyDescent="0.25">
      <c r="A28" s="59"/>
      <c r="B28" s="60">
        <v>661</v>
      </c>
      <c r="C28" s="60"/>
      <c r="D28" s="40" t="s">
        <v>116</v>
      </c>
      <c r="E28" s="114">
        <f>SUM(E29:E29)</f>
        <v>3100</v>
      </c>
      <c r="F28" s="114">
        <f>SUM(F29:F29)</f>
        <v>1980</v>
      </c>
      <c r="G28" s="114">
        <f>SUM(G29:G29)</f>
        <v>-1120</v>
      </c>
    </row>
    <row r="29" spans="1:7" x14ac:dyDescent="0.25">
      <c r="A29" s="11"/>
      <c r="B29" s="11">
        <v>6615</v>
      </c>
      <c r="C29" s="12"/>
      <c r="D29" s="71" t="s">
        <v>117</v>
      </c>
      <c r="E29" s="94">
        <v>3100</v>
      </c>
      <c r="F29" s="94">
        <v>1980</v>
      </c>
      <c r="G29" s="164">
        <f>F29-E29</f>
        <v>-1120</v>
      </c>
    </row>
    <row r="30" spans="1:7" ht="25.5" x14ac:dyDescent="0.25">
      <c r="A30" s="61"/>
      <c r="B30" s="61">
        <v>663</v>
      </c>
      <c r="C30" s="62"/>
      <c r="D30" s="40" t="s">
        <v>118</v>
      </c>
      <c r="E30" s="115">
        <f t="shared" ref="E30:F30" si="12">SUM(E31:E32)</f>
        <v>0</v>
      </c>
      <c r="F30" s="115">
        <f t="shared" si="12"/>
        <v>0</v>
      </c>
      <c r="G30" s="115">
        <f t="shared" ref="G30" si="13">SUM(G31:G32)</f>
        <v>0</v>
      </c>
    </row>
    <row r="31" spans="1:7" x14ac:dyDescent="0.25">
      <c r="A31" s="11"/>
      <c r="B31" s="11">
        <v>6631</v>
      </c>
      <c r="C31" s="12"/>
      <c r="D31" s="71" t="s">
        <v>119</v>
      </c>
      <c r="E31" s="94"/>
      <c r="F31" s="94"/>
      <c r="G31" s="94"/>
    </row>
    <row r="32" spans="1:7" x14ac:dyDescent="0.25">
      <c r="A32" s="11"/>
      <c r="B32" s="11">
        <v>6632</v>
      </c>
      <c r="C32" s="12"/>
      <c r="D32" s="71" t="s">
        <v>120</v>
      </c>
      <c r="E32" s="94"/>
      <c r="F32" s="94"/>
      <c r="G32" s="94"/>
    </row>
    <row r="33" spans="1:7" ht="24.75" customHeight="1" x14ac:dyDescent="0.25">
      <c r="A33" s="76"/>
      <c r="B33" s="73">
        <v>67</v>
      </c>
      <c r="C33" s="74"/>
      <c r="D33" s="77" t="s">
        <v>121</v>
      </c>
      <c r="E33" s="92">
        <f t="shared" ref="E33:G33" si="14">SUM(E34)</f>
        <v>28000</v>
      </c>
      <c r="F33" s="92">
        <f t="shared" si="14"/>
        <v>67933.05</v>
      </c>
      <c r="G33" s="92">
        <f t="shared" si="14"/>
        <v>39933.050000000003</v>
      </c>
    </row>
    <row r="34" spans="1:7" ht="38.25" x14ac:dyDescent="0.25">
      <c r="A34" s="61"/>
      <c r="B34" s="61">
        <v>671</v>
      </c>
      <c r="C34" s="62"/>
      <c r="D34" s="40" t="s">
        <v>122</v>
      </c>
      <c r="E34" s="114">
        <f t="shared" ref="E34:F34" si="15">SUM(E35:E36)</f>
        <v>28000</v>
      </c>
      <c r="F34" s="114">
        <f t="shared" si="15"/>
        <v>67933.05</v>
      </c>
      <c r="G34" s="114">
        <f t="shared" ref="G34" si="16">SUM(G35:G36)</f>
        <v>39933.050000000003</v>
      </c>
    </row>
    <row r="35" spans="1:7" ht="38.25" x14ac:dyDescent="0.25">
      <c r="A35" s="11"/>
      <c r="B35" s="11">
        <v>6711</v>
      </c>
      <c r="C35" s="12"/>
      <c r="D35" s="71" t="s">
        <v>123</v>
      </c>
      <c r="E35" s="94">
        <v>28000</v>
      </c>
      <c r="F35" s="94">
        <v>56733.05</v>
      </c>
      <c r="G35" s="164">
        <f>F35-E35</f>
        <v>28733.050000000003</v>
      </c>
    </row>
    <row r="36" spans="1:7" ht="38.25" x14ac:dyDescent="0.25">
      <c r="A36" s="11"/>
      <c r="B36" s="11">
        <v>6712</v>
      </c>
      <c r="C36" s="12"/>
      <c r="D36" s="71" t="s">
        <v>124</v>
      </c>
      <c r="E36" s="94"/>
      <c r="F36" s="94">
        <v>11200</v>
      </c>
      <c r="G36" s="164">
        <f>F36-E36</f>
        <v>11200</v>
      </c>
    </row>
    <row r="37" spans="1:7" s="78" customFormat="1" x14ac:dyDescent="0.25">
      <c r="A37" s="117"/>
      <c r="B37" s="118" t="s">
        <v>125</v>
      </c>
      <c r="C37" s="119"/>
      <c r="D37" s="119"/>
      <c r="E37" s="120">
        <f>SUM(E11+E24+E27+E33)</f>
        <v>601550</v>
      </c>
      <c r="F37" s="120">
        <f>SUM(F11+F24+F27+F33+F21)</f>
        <v>816915.54000000015</v>
      </c>
      <c r="G37" s="120">
        <f>SUM(G11+G24+G27+G33)</f>
        <v>215345.53999999998</v>
      </c>
    </row>
    <row r="38" spans="1:7" s="78" customFormat="1" x14ac:dyDescent="0.25">
      <c r="A38" s="121"/>
      <c r="B38" s="122"/>
      <c r="C38" s="123"/>
      <c r="D38" s="123"/>
      <c r="E38" s="124"/>
      <c r="F38" s="124"/>
      <c r="G38" s="124"/>
    </row>
    <row r="39" spans="1:7" s="78" customFormat="1" x14ac:dyDescent="0.25">
      <c r="A39" s="121"/>
      <c r="B39" s="122"/>
      <c r="C39" s="123"/>
      <c r="D39" s="123"/>
      <c r="E39" s="124"/>
      <c r="F39" s="124"/>
      <c r="G39" s="124"/>
    </row>
    <row r="40" spans="1:7" s="78" customFormat="1" x14ac:dyDescent="0.25">
      <c r="A40" s="121"/>
      <c r="B40" s="122"/>
      <c r="C40" s="123"/>
      <c r="D40" s="123"/>
      <c r="E40" s="124"/>
      <c r="F40" s="124"/>
      <c r="G40" s="124"/>
    </row>
    <row r="41" spans="1:7" s="78" customFormat="1" x14ac:dyDescent="0.25">
      <c r="A41" s="121"/>
      <c r="B41" s="122"/>
      <c r="C41" s="123"/>
      <c r="D41" s="123"/>
      <c r="E41" s="124"/>
      <c r="F41" s="124"/>
      <c r="G41" s="124"/>
    </row>
    <row r="43" spans="1:7" x14ac:dyDescent="0.25">
      <c r="A43" s="208" t="s">
        <v>13</v>
      </c>
      <c r="B43" s="209"/>
      <c r="C43" s="209"/>
      <c r="D43" s="209"/>
      <c r="E43" s="209"/>
      <c r="F43" s="209"/>
      <c r="G43" s="209"/>
    </row>
    <row r="44" spans="1:7" x14ac:dyDescent="0.25">
      <c r="A44" s="97"/>
      <c r="B44" s="97"/>
      <c r="C44" s="97"/>
      <c r="D44" s="97"/>
      <c r="E44" s="5"/>
      <c r="F44" s="5"/>
      <c r="G44" s="97"/>
    </row>
    <row r="45" spans="1:7" ht="25.5" x14ac:dyDescent="0.25">
      <c r="A45" s="19" t="s">
        <v>8</v>
      </c>
      <c r="B45" s="18" t="s">
        <v>9</v>
      </c>
      <c r="C45" s="18" t="s">
        <v>10</v>
      </c>
      <c r="D45" s="18" t="s">
        <v>14</v>
      </c>
      <c r="E45" s="19" t="s">
        <v>158</v>
      </c>
      <c r="F45" s="19" t="s">
        <v>168</v>
      </c>
      <c r="G45" s="19" t="s">
        <v>185</v>
      </c>
    </row>
    <row r="46" spans="1:7" x14ac:dyDescent="0.25">
      <c r="A46" s="68">
        <v>3</v>
      </c>
      <c r="B46" s="68"/>
      <c r="C46" s="68"/>
      <c r="D46" s="95" t="s">
        <v>15</v>
      </c>
      <c r="E46" s="91">
        <f>SUM(E47+E56+E90+E94)</f>
        <v>597065</v>
      </c>
      <c r="F46" s="91">
        <f>SUM(F47+F56+F90+F94)</f>
        <v>802009.85000000009</v>
      </c>
      <c r="G46" s="91">
        <f>SUM(G47+G56+G90+G94)</f>
        <v>204944.85000000009</v>
      </c>
    </row>
    <row r="47" spans="1:7" x14ac:dyDescent="0.25">
      <c r="A47" s="63"/>
      <c r="B47" s="64">
        <v>31</v>
      </c>
      <c r="C47" s="64"/>
      <c r="D47" s="41" t="s">
        <v>16</v>
      </c>
      <c r="E47" s="166">
        <f t="shared" ref="E47:F47" si="17">SUM(E48,E52,E54)</f>
        <v>511208</v>
      </c>
      <c r="F47" s="166">
        <f t="shared" si="17"/>
        <v>691641.29</v>
      </c>
      <c r="G47" s="166">
        <f t="shared" ref="G47" si="18">SUM(G48,G52,G54)</f>
        <v>180433.2900000001</v>
      </c>
    </row>
    <row r="48" spans="1:7" x14ac:dyDescent="0.25">
      <c r="A48" s="59"/>
      <c r="B48" s="60">
        <v>311</v>
      </c>
      <c r="C48" s="60"/>
      <c r="D48" s="40" t="s">
        <v>40</v>
      </c>
      <c r="E48" s="114">
        <f t="shared" ref="E48:F48" si="19">SUM(E49:E51)</f>
        <v>425708</v>
      </c>
      <c r="F48" s="114">
        <f t="shared" si="19"/>
        <v>577905.2300000001</v>
      </c>
      <c r="G48" s="114">
        <f t="shared" ref="G48" si="20">SUM(G49:G51)</f>
        <v>152197.2300000001</v>
      </c>
    </row>
    <row r="49" spans="1:7" x14ac:dyDescent="0.25">
      <c r="A49" s="11"/>
      <c r="B49" s="11">
        <v>3111</v>
      </c>
      <c r="C49" s="12"/>
      <c r="D49" s="82" t="s">
        <v>52</v>
      </c>
      <c r="E49" s="167">
        <f>430000-4485+193</f>
        <v>425708</v>
      </c>
      <c r="F49" s="167">
        <f>2568.83+417.6+39.47+3758.4+618520+1100.93-48500</f>
        <v>577905.2300000001</v>
      </c>
      <c r="G49" s="164">
        <f>F49-E49</f>
        <v>152197.2300000001</v>
      </c>
    </row>
    <row r="50" spans="1:7" x14ac:dyDescent="0.25">
      <c r="A50" s="11"/>
      <c r="B50" s="11">
        <v>3113</v>
      </c>
      <c r="C50" s="12"/>
      <c r="D50" s="82" t="s">
        <v>53</v>
      </c>
      <c r="E50" s="167"/>
      <c r="F50" s="167"/>
      <c r="G50" s="167"/>
    </row>
    <row r="51" spans="1:7" x14ac:dyDescent="0.25">
      <c r="A51" s="11"/>
      <c r="B51" s="11">
        <v>3114</v>
      </c>
      <c r="C51" s="12"/>
      <c r="D51" s="82" t="s">
        <v>54</v>
      </c>
      <c r="E51" s="167"/>
      <c r="F51" s="167"/>
      <c r="G51" s="167"/>
    </row>
    <row r="52" spans="1:7" x14ac:dyDescent="0.25">
      <c r="A52" s="61"/>
      <c r="B52" s="61">
        <v>312</v>
      </c>
      <c r="C52" s="62"/>
      <c r="D52" s="40" t="s">
        <v>55</v>
      </c>
      <c r="E52" s="115">
        <f t="shared" ref="E52:G52" si="21">E53</f>
        <v>15500</v>
      </c>
      <c r="F52" s="115">
        <f t="shared" si="21"/>
        <v>22425</v>
      </c>
      <c r="G52" s="115">
        <f t="shared" si="21"/>
        <v>6925</v>
      </c>
    </row>
    <row r="53" spans="1:7" x14ac:dyDescent="0.25">
      <c r="A53" s="11"/>
      <c r="B53" s="11">
        <v>3121</v>
      </c>
      <c r="C53" s="12"/>
      <c r="D53" s="82" t="s">
        <v>56</v>
      </c>
      <c r="E53" s="167">
        <v>15500</v>
      </c>
      <c r="F53" s="167">
        <f>210+330+270+21545+70</f>
        <v>22425</v>
      </c>
      <c r="G53" s="164">
        <f>F53-E53</f>
        <v>6925</v>
      </c>
    </row>
    <row r="54" spans="1:7" x14ac:dyDescent="0.25">
      <c r="A54" s="61"/>
      <c r="B54" s="61">
        <v>313</v>
      </c>
      <c r="C54" s="62"/>
      <c r="D54" s="40" t="s">
        <v>41</v>
      </c>
      <c r="E54" s="114">
        <f>SUM(E55:E55)</f>
        <v>70000</v>
      </c>
      <c r="F54" s="114">
        <f>SUM(F55:F55)</f>
        <v>91311.06</v>
      </c>
      <c r="G54" s="114">
        <f>SUM(G55:G55)</f>
        <v>21311.059999999998</v>
      </c>
    </row>
    <row r="55" spans="1:7" ht="25.5" x14ac:dyDescent="0.25">
      <c r="A55" s="11"/>
      <c r="B55" s="11">
        <v>3132</v>
      </c>
      <c r="C55" s="12"/>
      <c r="D55" s="82" t="s">
        <v>57</v>
      </c>
      <c r="E55" s="167">
        <v>70000</v>
      </c>
      <c r="F55" s="167">
        <f>423.85+68.91+6.51+620.13+98010+181.66-8000</f>
        <v>91311.06</v>
      </c>
      <c r="G55" s="164">
        <f>F55-E55</f>
        <v>21311.059999999998</v>
      </c>
    </row>
    <row r="56" spans="1:7" x14ac:dyDescent="0.25">
      <c r="A56" s="65"/>
      <c r="B56" s="66">
        <v>32</v>
      </c>
      <c r="C56" s="67"/>
      <c r="D56" s="41" t="s">
        <v>27</v>
      </c>
      <c r="E56" s="166">
        <f t="shared" ref="E56:F56" si="22">SUM(E57,E62,E70,E80,E82)</f>
        <v>81837</v>
      </c>
      <c r="F56" s="166">
        <f t="shared" si="22"/>
        <v>104288.25</v>
      </c>
      <c r="G56" s="166">
        <f t="shared" ref="G56" si="23">SUM(G57,G62,G70,G80,G82)</f>
        <v>22451.25</v>
      </c>
    </row>
    <row r="57" spans="1:7" x14ac:dyDescent="0.25">
      <c r="A57" s="53"/>
      <c r="B57" s="54">
        <v>321</v>
      </c>
      <c r="C57" s="52"/>
      <c r="D57" s="40" t="s">
        <v>42</v>
      </c>
      <c r="E57" s="114">
        <f t="shared" ref="E57:F57" si="24">SUM(E58:E61)</f>
        <v>20425</v>
      </c>
      <c r="F57" s="168">
        <f t="shared" si="24"/>
        <v>21837.68</v>
      </c>
      <c r="G57" s="114">
        <f t="shared" ref="G57" si="25">SUM(G58:G61)</f>
        <v>1412.6799999999994</v>
      </c>
    </row>
    <row r="58" spans="1:7" x14ac:dyDescent="0.25">
      <c r="A58" s="49"/>
      <c r="B58" s="15">
        <v>3211</v>
      </c>
      <c r="C58" s="12"/>
      <c r="D58" s="82" t="s">
        <v>58</v>
      </c>
      <c r="E58" s="167">
        <v>2000</v>
      </c>
      <c r="F58" s="169">
        <f>3+558.5+480+1432.54+27</f>
        <v>2501.04</v>
      </c>
      <c r="G58" s="164">
        <f t="shared" ref="G58:G61" si="26">F58-E58</f>
        <v>501.03999999999996</v>
      </c>
    </row>
    <row r="59" spans="1:7" ht="25.5" x14ac:dyDescent="0.25">
      <c r="A59" s="49"/>
      <c r="B59" s="11">
        <v>3212</v>
      </c>
      <c r="C59" s="12"/>
      <c r="D59" s="82" t="s">
        <v>59</v>
      </c>
      <c r="E59" s="167">
        <v>17000</v>
      </c>
      <c r="F59" s="169">
        <f>201.78+9.08+81.78+19056+86.5-2000</f>
        <v>17435.14</v>
      </c>
      <c r="G59" s="164">
        <f t="shared" si="26"/>
        <v>435.13999999999942</v>
      </c>
    </row>
    <row r="60" spans="1:7" x14ac:dyDescent="0.25">
      <c r="A60" s="49"/>
      <c r="B60" s="11">
        <v>3213</v>
      </c>
      <c r="C60" s="12"/>
      <c r="D60" s="82" t="s">
        <v>60</v>
      </c>
      <c r="E60" s="167">
        <v>225</v>
      </c>
      <c r="F60" s="169">
        <v>401.5</v>
      </c>
      <c r="G60" s="164">
        <f t="shared" si="26"/>
        <v>176.5</v>
      </c>
    </row>
    <row r="61" spans="1:7" ht="25.5" x14ac:dyDescent="0.25">
      <c r="A61" s="49"/>
      <c r="B61" s="11">
        <v>3214</v>
      </c>
      <c r="C61" s="12"/>
      <c r="D61" s="82" t="s">
        <v>61</v>
      </c>
      <c r="E61" s="167">
        <v>1200</v>
      </c>
      <c r="F61" s="169">
        <v>1500</v>
      </c>
      <c r="G61" s="164">
        <f t="shared" si="26"/>
        <v>300</v>
      </c>
    </row>
    <row r="62" spans="1:7" x14ac:dyDescent="0.25">
      <c r="A62" s="98"/>
      <c r="B62" s="51">
        <v>322</v>
      </c>
      <c r="C62" s="52"/>
      <c r="D62" s="40" t="s">
        <v>43</v>
      </c>
      <c r="E62" s="170">
        <f t="shared" ref="E62:F62" si="27">SUM(E63:E69)</f>
        <v>40035</v>
      </c>
      <c r="F62" s="170">
        <f t="shared" si="27"/>
        <v>41155.660000000003</v>
      </c>
      <c r="G62" s="170">
        <f t="shared" ref="G62" si="28">SUM(G63:G69)</f>
        <v>1120.6600000000005</v>
      </c>
    </row>
    <row r="63" spans="1:7" ht="25.5" x14ac:dyDescent="0.25">
      <c r="A63" s="99"/>
      <c r="B63" s="11">
        <v>3221</v>
      </c>
      <c r="C63" s="12"/>
      <c r="D63" s="82" t="s">
        <v>62</v>
      </c>
      <c r="E63" s="171">
        <v>4775</v>
      </c>
      <c r="F63" s="171">
        <f>555.11+938.36+3800+595.55</f>
        <v>5889.02</v>
      </c>
      <c r="G63" s="164">
        <f t="shared" ref="G63:G69" si="29">F63-E63</f>
        <v>1114.0200000000004</v>
      </c>
    </row>
    <row r="64" spans="1:7" x14ac:dyDescent="0.25">
      <c r="A64" s="101"/>
      <c r="B64" s="11">
        <v>3222</v>
      </c>
      <c r="C64" s="12"/>
      <c r="D64" s="82" t="s">
        <v>63</v>
      </c>
      <c r="E64" s="171">
        <v>24200</v>
      </c>
      <c r="F64" s="171">
        <v>24000</v>
      </c>
      <c r="G64" s="164">
        <f t="shared" si="29"/>
        <v>-200</v>
      </c>
    </row>
    <row r="65" spans="1:7" x14ac:dyDescent="0.25">
      <c r="A65" s="101"/>
      <c r="B65" s="50">
        <v>3223</v>
      </c>
      <c r="C65" s="14"/>
      <c r="D65" s="82" t="s">
        <v>64</v>
      </c>
      <c r="E65" s="171">
        <v>7500</v>
      </c>
      <c r="F65" s="171">
        <v>7500</v>
      </c>
      <c r="G65" s="164">
        <f t="shared" si="29"/>
        <v>0</v>
      </c>
    </row>
    <row r="66" spans="1:7" ht="25.5" x14ac:dyDescent="0.25">
      <c r="A66" s="101"/>
      <c r="B66" s="15">
        <v>3224</v>
      </c>
      <c r="C66" s="15"/>
      <c r="D66" s="82" t="s">
        <v>65</v>
      </c>
      <c r="E66" s="171">
        <v>1500</v>
      </c>
      <c r="F66" s="171">
        <v>2000</v>
      </c>
      <c r="G66" s="164">
        <f t="shared" si="29"/>
        <v>500</v>
      </c>
    </row>
    <row r="67" spans="1:7" x14ac:dyDescent="0.25">
      <c r="A67" s="101"/>
      <c r="B67" s="15">
        <v>3225</v>
      </c>
      <c r="C67" s="12"/>
      <c r="D67" s="82" t="s">
        <v>66</v>
      </c>
      <c r="E67" s="171">
        <v>1906</v>
      </c>
      <c r="F67" s="171">
        <f>1242.5+478.69</f>
        <v>1721.19</v>
      </c>
      <c r="G67" s="164">
        <f t="shared" si="29"/>
        <v>-184.80999999999995</v>
      </c>
    </row>
    <row r="68" spans="1:7" ht="25.5" x14ac:dyDescent="0.25">
      <c r="A68" s="101"/>
      <c r="B68" s="102">
        <v>3226</v>
      </c>
      <c r="C68" s="101"/>
      <c r="D68" s="82" t="s">
        <v>67</v>
      </c>
      <c r="E68" s="171"/>
      <c r="F68" s="171"/>
      <c r="G68" s="164">
        <f t="shared" si="29"/>
        <v>0</v>
      </c>
    </row>
    <row r="69" spans="1:7" ht="25.5" x14ac:dyDescent="0.25">
      <c r="A69" s="101"/>
      <c r="B69" s="102">
        <v>3227</v>
      </c>
      <c r="C69" s="101"/>
      <c r="D69" s="82" t="s">
        <v>68</v>
      </c>
      <c r="E69" s="171">
        <v>154</v>
      </c>
      <c r="F69" s="171">
        <v>45.45</v>
      </c>
      <c r="G69" s="164">
        <f t="shared" si="29"/>
        <v>-108.55</v>
      </c>
    </row>
    <row r="70" spans="1:7" x14ac:dyDescent="0.25">
      <c r="A70" s="103"/>
      <c r="B70" s="104">
        <v>323</v>
      </c>
      <c r="C70" s="103"/>
      <c r="D70" s="40" t="s">
        <v>44</v>
      </c>
      <c r="E70" s="170">
        <f t="shared" ref="E70:F70" si="30">SUM(E71:E79)</f>
        <v>13887</v>
      </c>
      <c r="F70" s="170">
        <f t="shared" si="30"/>
        <v>36432.239999999998</v>
      </c>
      <c r="G70" s="170">
        <f t="shared" ref="G70" si="31">SUM(G71:G79)</f>
        <v>22545.239999999998</v>
      </c>
    </row>
    <row r="71" spans="1:7" x14ac:dyDescent="0.25">
      <c r="A71" s="105"/>
      <c r="B71" s="102">
        <v>3231</v>
      </c>
      <c r="C71" s="101"/>
      <c r="D71" s="82" t="s">
        <v>69</v>
      </c>
      <c r="E71" s="171">
        <v>3700</v>
      </c>
      <c r="F71" s="171">
        <f>450+1360+2000</f>
        <v>3810</v>
      </c>
      <c r="G71" s="164">
        <f t="shared" ref="G71:G79" si="32">F71-E71</f>
        <v>110</v>
      </c>
    </row>
    <row r="72" spans="1:7" ht="25.5" x14ac:dyDescent="0.25">
      <c r="A72" s="101"/>
      <c r="B72" s="102">
        <v>3232</v>
      </c>
      <c r="C72" s="101"/>
      <c r="D72" s="82" t="s">
        <v>70</v>
      </c>
      <c r="E72" s="171">
        <v>2180</v>
      </c>
      <c r="F72" s="171">
        <f>8500-6588.75</f>
        <v>1911.25</v>
      </c>
      <c r="G72" s="164">
        <f t="shared" si="32"/>
        <v>-268.75</v>
      </c>
    </row>
    <row r="73" spans="1:7" x14ac:dyDescent="0.25">
      <c r="A73" s="101"/>
      <c r="B73" s="102">
        <v>3233</v>
      </c>
      <c r="C73" s="101"/>
      <c r="D73" s="82" t="s">
        <v>71</v>
      </c>
      <c r="E73" s="171">
        <v>128</v>
      </c>
      <c r="F73" s="171">
        <v>305</v>
      </c>
      <c r="G73" s="164">
        <f t="shared" si="32"/>
        <v>177</v>
      </c>
    </row>
    <row r="74" spans="1:7" x14ac:dyDescent="0.25">
      <c r="A74" s="101"/>
      <c r="B74" s="102">
        <v>3234</v>
      </c>
      <c r="C74" s="101"/>
      <c r="D74" s="82" t="s">
        <v>72</v>
      </c>
      <c r="E74" s="171">
        <v>2700</v>
      </c>
      <c r="F74" s="171">
        <v>3540</v>
      </c>
      <c r="G74" s="164">
        <f t="shared" si="32"/>
        <v>840</v>
      </c>
    </row>
    <row r="75" spans="1:7" x14ac:dyDescent="0.25">
      <c r="A75" s="101"/>
      <c r="B75" s="102">
        <v>3235</v>
      </c>
      <c r="C75" s="101"/>
      <c r="D75" s="82" t="s">
        <v>73</v>
      </c>
      <c r="E75" s="171"/>
      <c r="F75" s="171"/>
      <c r="G75" s="164">
        <f t="shared" si="32"/>
        <v>0</v>
      </c>
    </row>
    <row r="76" spans="1:7" ht="25.5" x14ac:dyDescent="0.25">
      <c r="A76" s="101"/>
      <c r="B76" s="102">
        <v>3236</v>
      </c>
      <c r="C76" s="101"/>
      <c r="D76" s="82" t="s">
        <v>74</v>
      </c>
      <c r="E76" s="171">
        <v>2727</v>
      </c>
      <c r="F76" s="171">
        <v>674.75</v>
      </c>
      <c r="G76" s="164">
        <f t="shared" si="32"/>
        <v>-2052.25</v>
      </c>
    </row>
    <row r="77" spans="1:7" x14ac:dyDescent="0.25">
      <c r="A77" s="101"/>
      <c r="B77" s="102">
        <v>3237</v>
      </c>
      <c r="C77" s="101"/>
      <c r="D77" s="82" t="s">
        <v>75</v>
      </c>
      <c r="E77" s="171"/>
      <c r="F77" s="171">
        <f>325+22700</f>
        <v>23025</v>
      </c>
      <c r="G77" s="164">
        <f t="shared" si="32"/>
        <v>23025</v>
      </c>
    </row>
    <row r="78" spans="1:7" x14ac:dyDescent="0.25">
      <c r="A78" s="101"/>
      <c r="B78" s="102">
        <v>3238</v>
      </c>
      <c r="C78" s="101"/>
      <c r="D78" s="82" t="s">
        <v>76</v>
      </c>
      <c r="E78" s="171">
        <v>1120</v>
      </c>
      <c r="F78" s="171">
        <v>1116</v>
      </c>
      <c r="G78" s="164">
        <f t="shared" si="32"/>
        <v>-4</v>
      </c>
    </row>
    <row r="79" spans="1:7" x14ac:dyDescent="0.25">
      <c r="A79" s="101"/>
      <c r="B79" s="102">
        <v>3239</v>
      </c>
      <c r="C79" s="101"/>
      <c r="D79" s="82" t="s">
        <v>77</v>
      </c>
      <c r="E79" s="171">
        <f>305+1027</f>
        <v>1332</v>
      </c>
      <c r="F79" s="171">
        <f>292.39+2820.35-1062.5</f>
        <v>2050.2399999999998</v>
      </c>
      <c r="G79" s="164">
        <f t="shared" si="32"/>
        <v>718.23999999999978</v>
      </c>
    </row>
    <row r="80" spans="1:7" ht="25.5" x14ac:dyDescent="0.25">
      <c r="A80" s="103"/>
      <c r="B80" s="104">
        <v>324</v>
      </c>
      <c r="C80" s="103"/>
      <c r="D80" s="40" t="s">
        <v>78</v>
      </c>
      <c r="E80" s="170">
        <f t="shared" ref="E80:G80" si="33">E81</f>
        <v>0</v>
      </c>
      <c r="F80" s="170">
        <f t="shared" si="33"/>
        <v>0</v>
      </c>
      <c r="G80" s="170">
        <f t="shared" si="33"/>
        <v>0</v>
      </c>
    </row>
    <row r="81" spans="1:7" ht="25.5" x14ac:dyDescent="0.25">
      <c r="A81" s="105"/>
      <c r="B81" s="106">
        <v>3241</v>
      </c>
      <c r="C81" s="105"/>
      <c r="D81" s="82" t="s">
        <v>105</v>
      </c>
      <c r="E81" s="172"/>
      <c r="F81" s="172"/>
      <c r="G81" s="172"/>
    </row>
    <row r="82" spans="1:7" ht="25.5" x14ac:dyDescent="0.25">
      <c r="A82" s="103"/>
      <c r="B82" s="104">
        <v>329</v>
      </c>
      <c r="C82" s="103"/>
      <c r="D82" s="40" t="s">
        <v>79</v>
      </c>
      <c r="E82" s="170">
        <f t="shared" ref="E82:F82" si="34">SUM(E83:E89)</f>
        <v>7490</v>
      </c>
      <c r="F82" s="170">
        <f t="shared" si="34"/>
        <v>4862.67</v>
      </c>
      <c r="G82" s="170">
        <f t="shared" ref="G82" si="35">SUM(G83:G89)</f>
        <v>-2627.33</v>
      </c>
    </row>
    <row r="83" spans="1:7" ht="38.25" x14ac:dyDescent="0.25">
      <c r="A83" s="105"/>
      <c r="B83" s="102">
        <v>3291</v>
      </c>
      <c r="C83" s="101"/>
      <c r="D83" s="82" t="s">
        <v>80</v>
      </c>
      <c r="E83" s="171"/>
      <c r="F83" s="171"/>
      <c r="G83" s="164">
        <f t="shared" ref="G83:G89" si="36">F83-E83</f>
        <v>0</v>
      </c>
    </row>
    <row r="84" spans="1:7" x14ac:dyDescent="0.25">
      <c r="A84" s="101"/>
      <c r="B84" s="102">
        <v>3292</v>
      </c>
      <c r="C84" s="101"/>
      <c r="D84" s="82" t="s">
        <v>81</v>
      </c>
      <c r="E84" s="171"/>
      <c r="F84" s="171"/>
      <c r="G84" s="164">
        <f t="shared" si="36"/>
        <v>0</v>
      </c>
    </row>
    <row r="85" spans="1:7" x14ac:dyDescent="0.25">
      <c r="A85" s="101"/>
      <c r="B85" s="102">
        <v>3293</v>
      </c>
      <c r="C85" s="101"/>
      <c r="D85" s="82" t="s">
        <v>82</v>
      </c>
      <c r="E85" s="171"/>
      <c r="F85" s="171"/>
      <c r="G85" s="164">
        <f t="shared" si="36"/>
        <v>0</v>
      </c>
    </row>
    <row r="86" spans="1:7" x14ac:dyDescent="0.25">
      <c r="A86" s="101"/>
      <c r="B86" s="102">
        <v>3294</v>
      </c>
      <c r="C86" s="101"/>
      <c r="D86" s="82" t="s">
        <v>83</v>
      </c>
      <c r="E86" s="171">
        <v>190</v>
      </c>
      <c r="F86" s="171">
        <v>190</v>
      </c>
      <c r="G86" s="164">
        <f t="shared" si="36"/>
        <v>0</v>
      </c>
    </row>
    <row r="87" spans="1:7" x14ac:dyDescent="0.25">
      <c r="A87" s="101"/>
      <c r="B87" s="102">
        <v>3295</v>
      </c>
      <c r="C87" s="101"/>
      <c r="D87" s="82" t="s">
        <v>84</v>
      </c>
      <c r="E87" s="171">
        <v>1800</v>
      </c>
      <c r="F87" s="171">
        <f>74.34+2156</f>
        <v>2230.34</v>
      </c>
      <c r="G87" s="164">
        <f t="shared" si="36"/>
        <v>430.34000000000015</v>
      </c>
    </row>
    <row r="88" spans="1:7" x14ac:dyDescent="0.25">
      <c r="A88" s="101"/>
      <c r="B88" s="102">
        <v>3296</v>
      </c>
      <c r="C88" s="101"/>
      <c r="D88" s="82" t="s">
        <v>85</v>
      </c>
      <c r="E88" s="171"/>
      <c r="F88" s="171"/>
      <c r="G88" s="164">
        <f t="shared" si="36"/>
        <v>0</v>
      </c>
    </row>
    <row r="89" spans="1:7" ht="25.5" x14ac:dyDescent="0.25">
      <c r="A89" s="101"/>
      <c r="B89" s="102">
        <v>3299</v>
      </c>
      <c r="C89" s="101"/>
      <c r="D89" s="82" t="s">
        <v>45</v>
      </c>
      <c r="E89" s="171">
        <v>5500</v>
      </c>
      <c r="F89" s="171">
        <f>1775.8+420.53+246</f>
        <v>2442.33</v>
      </c>
      <c r="G89" s="164">
        <f t="shared" si="36"/>
        <v>-3057.67</v>
      </c>
    </row>
    <row r="90" spans="1:7" x14ac:dyDescent="0.25">
      <c r="A90" s="107"/>
      <c r="B90" s="108">
        <v>34</v>
      </c>
      <c r="C90" s="107"/>
      <c r="D90" s="41" t="s">
        <v>46</v>
      </c>
      <c r="E90" s="166">
        <f t="shared" ref="E90:G90" si="37">E91</f>
        <v>520</v>
      </c>
      <c r="F90" s="166">
        <f t="shared" si="37"/>
        <v>520</v>
      </c>
      <c r="G90" s="166">
        <f t="shared" si="37"/>
        <v>0</v>
      </c>
    </row>
    <row r="91" spans="1:7" x14ac:dyDescent="0.25">
      <c r="A91" s="103"/>
      <c r="B91" s="104">
        <v>343</v>
      </c>
      <c r="C91" s="103"/>
      <c r="D91" s="40" t="s">
        <v>47</v>
      </c>
      <c r="E91" s="170">
        <f t="shared" ref="E91:F91" si="38">SUM(E92:E93)</f>
        <v>520</v>
      </c>
      <c r="F91" s="170">
        <f t="shared" si="38"/>
        <v>520</v>
      </c>
      <c r="G91" s="170">
        <f t="shared" ref="G91" si="39">SUM(G92:G93)</f>
        <v>0</v>
      </c>
    </row>
    <row r="92" spans="1:7" ht="25.5" x14ac:dyDescent="0.25">
      <c r="A92" s="105"/>
      <c r="B92" s="102">
        <v>3431</v>
      </c>
      <c r="C92" s="101"/>
      <c r="D92" s="82" t="s">
        <v>86</v>
      </c>
      <c r="E92" s="171">
        <v>520</v>
      </c>
      <c r="F92" s="171">
        <v>520</v>
      </c>
      <c r="G92" s="164">
        <f>F92-E92</f>
        <v>0</v>
      </c>
    </row>
    <row r="93" spans="1:7" x14ac:dyDescent="0.25">
      <c r="A93" s="101"/>
      <c r="B93" s="102">
        <v>3433</v>
      </c>
      <c r="C93" s="101"/>
      <c r="D93" s="82" t="s">
        <v>87</v>
      </c>
      <c r="E93" s="171"/>
      <c r="F93" s="171"/>
      <c r="G93" s="171"/>
    </row>
    <row r="94" spans="1:7" ht="38.25" x14ac:dyDescent="0.25">
      <c r="A94" s="107"/>
      <c r="B94" s="108">
        <v>37</v>
      </c>
      <c r="C94" s="107"/>
      <c r="D94" s="41" t="s">
        <v>48</v>
      </c>
      <c r="E94" s="166">
        <f t="shared" ref="E94:G94" si="40">E95</f>
        <v>3500</v>
      </c>
      <c r="F94" s="166">
        <f t="shared" si="40"/>
        <v>5560.31</v>
      </c>
      <c r="G94" s="166">
        <f t="shared" si="40"/>
        <v>2060.3100000000004</v>
      </c>
    </row>
    <row r="95" spans="1:7" ht="25.5" x14ac:dyDescent="0.25">
      <c r="A95" s="103"/>
      <c r="B95" s="104">
        <v>372</v>
      </c>
      <c r="C95" s="103"/>
      <c r="D95" s="40" t="s">
        <v>49</v>
      </c>
      <c r="E95" s="170">
        <f t="shared" ref="E95:F95" si="41">SUM(E96:E97)</f>
        <v>3500</v>
      </c>
      <c r="F95" s="170">
        <f t="shared" si="41"/>
        <v>5560.31</v>
      </c>
      <c r="G95" s="170">
        <f t="shared" ref="G95" si="42">SUM(G96:G97)</f>
        <v>2060.3100000000004</v>
      </c>
    </row>
    <row r="96" spans="1:7" ht="25.5" x14ac:dyDescent="0.25">
      <c r="A96" s="105"/>
      <c r="B96" s="102">
        <v>3721</v>
      </c>
      <c r="C96" s="101"/>
      <c r="D96" s="82" t="s">
        <v>88</v>
      </c>
      <c r="E96" s="171"/>
      <c r="F96" s="171"/>
      <c r="G96" s="171"/>
    </row>
    <row r="97" spans="1:7" ht="25.5" x14ac:dyDescent="0.25">
      <c r="A97" s="101"/>
      <c r="B97" s="102">
        <v>3722</v>
      </c>
      <c r="C97" s="101"/>
      <c r="D97" s="82" t="s">
        <v>89</v>
      </c>
      <c r="E97" s="171">
        <v>3500</v>
      </c>
      <c r="F97" s="171">
        <v>5560.31</v>
      </c>
      <c r="G97" s="164">
        <f>F97-E97</f>
        <v>2060.3100000000004</v>
      </c>
    </row>
    <row r="98" spans="1:7" ht="38.25" x14ac:dyDescent="0.25">
      <c r="A98" s="109"/>
      <c r="B98" s="110">
        <v>4</v>
      </c>
      <c r="C98" s="109"/>
      <c r="D98" s="69" t="s">
        <v>38</v>
      </c>
      <c r="E98" s="173">
        <f t="shared" ref="E98:G98" si="43">E99</f>
        <v>4485</v>
      </c>
      <c r="F98" s="173">
        <f>F99+F111</f>
        <v>14725.18</v>
      </c>
      <c r="G98" s="173">
        <f t="shared" si="43"/>
        <v>10240.18</v>
      </c>
    </row>
    <row r="99" spans="1:7" ht="38.25" x14ac:dyDescent="0.25">
      <c r="A99" s="107"/>
      <c r="B99" s="108">
        <v>42</v>
      </c>
      <c r="C99" s="107"/>
      <c r="D99" s="41" t="s">
        <v>38</v>
      </c>
      <c r="E99" s="166">
        <f t="shared" ref="E99" si="44">SUM(E102,E109)</f>
        <v>4485</v>
      </c>
      <c r="F99" s="166">
        <f>SUM(F102,F109,F100)</f>
        <v>14725.18</v>
      </c>
      <c r="G99" s="166">
        <f>SUM(G102,G109,G100)</f>
        <v>10240.18</v>
      </c>
    </row>
    <row r="100" spans="1:7" ht="17.25" customHeight="1" x14ac:dyDescent="0.25">
      <c r="A100" s="37"/>
      <c r="B100" s="157">
        <v>421</v>
      </c>
      <c r="C100" s="39"/>
      <c r="D100" s="40" t="s">
        <v>189</v>
      </c>
      <c r="E100" s="93"/>
      <c r="F100" s="93">
        <f>F101</f>
        <v>11200</v>
      </c>
      <c r="G100" s="93">
        <f>G101</f>
        <v>11200</v>
      </c>
    </row>
    <row r="101" spans="1:7" x14ac:dyDescent="0.25">
      <c r="A101" s="83"/>
      <c r="B101" s="158">
        <v>4212</v>
      </c>
      <c r="C101" s="85"/>
      <c r="D101" s="82" t="s">
        <v>190</v>
      </c>
      <c r="E101" s="94"/>
      <c r="F101" s="94">
        <v>11200</v>
      </c>
      <c r="G101" s="164">
        <f>F101-E101</f>
        <v>11200</v>
      </c>
    </row>
    <row r="102" spans="1:7" x14ac:dyDescent="0.25">
      <c r="A102" s="103"/>
      <c r="B102" s="104">
        <v>422</v>
      </c>
      <c r="C102" s="103"/>
      <c r="D102" s="40" t="s">
        <v>50</v>
      </c>
      <c r="E102" s="170">
        <f t="shared" ref="E102:F102" si="45">SUM(E103:E108)</f>
        <v>0</v>
      </c>
      <c r="F102" s="170">
        <f t="shared" si="45"/>
        <v>0</v>
      </c>
      <c r="G102" s="170">
        <f t="shared" ref="G102" si="46">SUM(G103:G108)</f>
        <v>0</v>
      </c>
    </row>
    <row r="103" spans="1:7" x14ac:dyDescent="0.25">
      <c r="A103" s="105"/>
      <c r="B103" s="102">
        <v>4221</v>
      </c>
      <c r="C103" s="101"/>
      <c r="D103" s="82" t="s">
        <v>90</v>
      </c>
      <c r="E103" s="171"/>
      <c r="F103" s="171"/>
      <c r="G103" s="171"/>
    </row>
    <row r="104" spans="1:7" x14ac:dyDescent="0.25">
      <c r="A104" s="101"/>
      <c r="B104" s="102">
        <v>4222</v>
      </c>
      <c r="C104" s="101"/>
      <c r="D104" s="82" t="s">
        <v>91</v>
      </c>
      <c r="E104" s="171"/>
      <c r="F104" s="171"/>
      <c r="G104" s="171"/>
    </row>
    <row r="105" spans="1:7" x14ac:dyDescent="0.25">
      <c r="A105" s="101"/>
      <c r="B105" s="102">
        <v>4223</v>
      </c>
      <c r="C105" s="101"/>
      <c r="D105" s="82" t="s">
        <v>92</v>
      </c>
      <c r="E105" s="171"/>
      <c r="F105" s="171"/>
      <c r="G105" s="171"/>
    </row>
    <row r="106" spans="1:7" x14ac:dyDescent="0.25">
      <c r="A106" s="101"/>
      <c r="B106" s="102">
        <v>4225</v>
      </c>
      <c r="C106" s="101"/>
      <c r="D106" s="82" t="s">
        <v>93</v>
      </c>
      <c r="E106" s="171"/>
      <c r="F106" s="171"/>
      <c r="G106" s="171"/>
    </row>
    <row r="107" spans="1:7" x14ac:dyDescent="0.25">
      <c r="A107" s="101"/>
      <c r="B107" s="102">
        <v>4226</v>
      </c>
      <c r="C107" s="101"/>
      <c r="D107" s="82" t="s">
        <v>94</v>
      </c>
      <c r="E107" s="171"/>
      <c r="F107" s="171"/>
      <c r="G107" s="171"/>
    </row>
    <row r="108" spans="1:7" ht="25.5" x14ac:dyDescent="0.25">
      <c r="A108" s="101"/>
      <c r="B108" s="102">
        <v>4227</v>
      </c>
      <c r="C108" s="101"/>
      <c r="D108" s="82" t="s">
        <v>95</v>
      </c>
      <c r="E108" s="171"/>
      <c r="F108" s="171"/>
      <c r="G108" s="171"/>
    </row>
    <row r="109" spans="1:7" ht="25.5" x14ac:dyDescent="0.25">
      <c r="A109" s="103"/>
      <c r="B109" s="104">
        <v>424</v>
      </c>
      <c r="C109" s="103"/>
      <c r="D109" s="40" t="s">
        <v>51</v>
      </c>
      <c r="E109" s="170">
        <f t="shared" ref="E109:G109" si="47">E110</f>
        <v>4485</v>
      </c>
      <c r="F109" s="170">
        <f t="shared" si="47"/>
        <v>3525.18</v>
      </c>
      <c r="G109" s="170">
        <f t="shared" si="47"/>
        <v>-959.82000000000016</v>
      </c>
    </row>
    <row r="110" spans="1:7" x14ac:dyDescent="0.25">
      <c r="A110" s="105"/>
      <c r="B110" s="111">
        <v>4241</v>
      </c>
      <c r="C110" s="101"/>
      <c r="D110" s="82" t="s">
        <v>96</v>
      </c>
      <c r="E110" s="171">
        <f>535+3950</f>
        <v>4485</v>
      </c>
      <c r="F110" s="171">
        <f>3025.18+500</f>
        <v>3525.18</v>
      </c>
      <c r="G110" s="164">
        <f>F110-E110</f>
        <v>-959.82000000000016</v>
      </c>
    </row>
    <row r="111" spans="1:7" ht="25.5" x14ac:dyDescent="0.25">
      <c r="A111" s="156"/>
      <c r="B111" s="159">
        <v>45</v>
      </c>
      <c r="C111" s="160"/>
      <c r="D111" s="161" t="s">
        <v>178</v>
      </c>
      <c r="E111" s="92"/>
      <c r="F111" s="116">
        <f>F112</f>
        <v>0</v>
      </c>
      <c r="G111" s="92"/>
    </row>
    <row r="112" spans="1:7" ht="25.5" x14ac:dyDescent="0.25">
      <c r="A112" s="37"/>
      <c r="B112" s="157">
        <v>451</v>
      </c>
      <c r="C112" s="39"/>
      <c r="D112" s="40" t="s">
        <v>179</v>
      </c>
      <c r="E112" s="93"/>
      <c r="F112" s="93">
        <f>F113</f>
        <v>0</v>
      </c>
      <c r="G112" s="93"/>
    </row>
    <row r="113" spans="1:7" ht="25.5" x14ac:dyDescent="0.25">
      <c r="A113" s="83"/>
      <c r="B113" s="158">
        <v>4511</v>
      </c>
      <c r="C113" s="85"/>
      <c r="D113" s="82" t="s">
        <v>179</v>
      </c>
      <c r="E113" s="94"/>
      <c r="F113" s="94"/>
      <c r="G113" s="164">
        <f>F113-E113</f>
        <v>0</v>
      </c>
    </row>
    <row r="114" spans="1:7" x14ac:dyDescent="0.25">
      <c r="A114" s="204" t="s">
        <v>106</v>
      </c>
      <c r="B114" s="205"/>
      <c r="C114" s="205"/>
      <c r="D114" s="206"/>
      <c r="E114" s="173">
        <f>SUM(E46,E98)</f>
        <v>601550</v>
      </c>
      <c r="F114" s="173">
        <f>SUM(F46,F98)</f>
        <v>816735.03000000014</v>
      </c>
      <c r="G114" s="173">
        <f>SUM(G46,G98)</f>
        <v>215185.03000000009</v>
      </c>
    </row>
  </sheetData>
  <mergeCells count="6">
    <mergeCell ref="A114:D114"/>
    <mergeCell ref="A7:G7"/>
    <mergeCell ref="A43:G43"/>
    <mergeCell ref="A1:G1"/>
    <mergeCell ref="A3:G3"/>
    <mergeCell ref="A5:G5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opLeftCell="A22" workbookViewId="0">
      <selection activeCell="C21" sqref="C21"/>
    </sheetView>
  </sheetViews>
  <sheetFormatPr defaultRowHeight="15" x14ac:dyDescent="0.25"/>
  <cols>
    <col min="1" max="4" width="25.28515625" customWidth="1"/>
  </cols>
  <sheetData>
    <row r="1" spans="1:4" ht="42" customHeight="1" x14ac:dyDescent="0.25">
      <c r="A1" s="189" t="s">
        <v>170</v>
      </c>
      <c r="B1" s="189"/>
      <c r="C1" s="189"/>
      <c r="D1" s="189"/>
    </row>
    <row r="2" spans="1:4" ht="18" customHeight="1" x14ac:dyDescent="0.25">
      <c r="A2" s="23"/>
      <c r="B2" s="23"/>
      <c r="C2" s="23"/>
      <c r="D2" s="23"/>
    </row>
    <row r="3" spans="1:4" ht="15.75" customHeight="1" x14ac:dyDescent="0.25">
      <c r="A3" s="189" t="s">
        <v>24</v>
      </c>
      <c r="B3" s="189"/>
      <c r="C3" s="189"/>
      <c r="D3" s="189"/>
    </row>
    <row r="4" spans="1:4" ht="18" x14ac:dyDescent="0.25">
      <c r="B4" s="23"/>
      <c r="C4" s="23"/>
      <c r="D4" s="5"/>
    </row>
    <row r="5" spans="1:4" ht="18" customHeight="1" x14ac:dyDescent="0.25">
      <c r="A5" s="189" t="s">
        <v>7</v>
      </c>
      <c r="B5" s="189"/>
      <c r="C5" s="189"/>
      <c r="D5" s="189"/>
    </row>
    <row r="6" spans="1:4" ht="18" x14ac:dyDescent="0.25">
      <c r="A6" s="23"/>
      <c r="B6" s="23"/>
      <c r="C6" s="23"/>
      <c r="D6" s="5"/>
    </row>
    <row r="7" spans="1:4" ht="15.75" customHeight="1" x14ac:dyDescent="0.25">
      <c r="A7" s="189" t="s">
        <v>157</v>
      </c>
      <c r="B7" s="189"/>
      <c r="C7" s="189"/>
      <c r="D7" s="189"/>
    </row>
    <row r="8" spans="1:4" ht="18" x14ac:dyDescent="0.25">
      <c r="A8" s="23"/>
      <c r="B8" s="23"/>
      <c r="C8" s="23"/>
      <c r="D8" s="5"/>
    </row>
    <row r="9" spans="1:4" ht="25.5" x14ac:dyDescent="0.25">
      <c r="A9" s="19" t="s">
        <v>151</v>
      </c>
      <c r="B9" s="19" t="s">
        <v>158</v>
      </c>
      <c r="C9" s="19" t="s">
        <v>168</v>
      </c>
      <c r="D9" s="19" t="s">
        <v>185</v>
      </c>
    </row>
    <row r="10" spans="1:4" x14ac:dyDescent="0.25">
      <c r="A10" s="140" t="s">
        <v>0</v>
      </c>
      <c r="B10" s="174">
        <f t="shared" ref="B10:C10" si="0">B11+B13+B15+B18</f>
        <v>601550</v>
      </c>
      <c r="C10" s="174">
        <f t="shared" si="0"/>
        <v>816915.54000000015</v>
      </c>
      <c r="D10" s="174">
        <f t="shared" ref="D10" si="1">D11+D13+D15+D18</f>
        <v>215365.54000000004</v>
      </c>
    </row>
    <row r="11" spans="1:4" x14ac:dyDescent="0.25">
      <c r="A11" s="133" t="s">
        <v>150</v>
      </c>
      <c r="B11" s="175">
        <f t="shared" ref="B11:D11" si="2">B12</f>
        <v>0</v>
      </c>
      <c r="C11" s="175">
        <f t="shared" si="2"/>
        <v>26933.05</v>
      </c>
      <c r="D11" s="175">
        <f t="shared" si="2"/>
        <v>26933.05</v>
      </c>
    </row>
    <row r="12" spans="1:4" x14ac:dyDescent="0.25">
      <c r="A12" s="12" t="s">
        <v>149</v>
      </c>
      <c r="B12" s="167"/>
      <c r="C12" s="167">
        <v>26933.05</v>
      </c>
      <c r="D12" s="164">
        <f>C12-B12</f>
        <v>26933.05</v>
      </c>
    </row>
    <row r="13" spans="1:4" x14ac:dyDescent="0.25">
      <c r="A13" s="133" t="s">
        <v>148</v>
      </c>
      <c r="B13" s="93">
        <f t="shared" ref="B13:D13" si="3">B14</f>
        <v>3100</v>
      </c>
      <c r="C13" s="93">
        <f t="shared" si="3"/>
        <v>2000</v>
      </c>
      <c r="D13" s="93">
        <f t="shared" si="3"/>
        <v>-1100</v>
      </c>
    </row>
    <row r="14" spans="1:4" x14ac:dyDescent="0.25">
      <c r="A14" s="12" t="s">
        <v>147</v>
      </c>
      <c r="B14" s="94">
        <v>3100</v>
      </c>
      <c r="C14" s="94">
        <v>2000</v>
      </c>
      <c r="D14" s="164">
        <f>C14-B14</f>
        <v>-1100</v>
      </c>
    </row>
    <row r="15" spans="1:4" ht="25.5" x14ac:dyDescent="0.25">
      <c r="A15" s="134" t="s">
        <v>156</v>
      </c>
      <c r="B15" s="93">
        <f t="shared" ref="B15:C15" si="4">B16+B17</f>
        <v>35500</v>
      </c>
      <c r="C15" s="93">
        <f t="shared" si="4"/>
        <v>46600</v>
      </c>
      <c r="D15" s="93">
        <f t="shared" ref="D15" si="5">D16+D17</f>
        <v>11100</v>
      </c>
    </row>
    <row r="16" spans="1:4" ht="25.5" x14ac:dyDescent="0.25">
      <c r="A16" s="16" t="s">
        <v>155</v>
      </c>
      <c r="B16" s="94">
        <v>7500</v>
      </c>
      <c r="C16" s="94">
        <v>5600</v>
      </c>
      <c r="D16" s="164">
        <f>C16-B16</f>
        <v>-1900</v>
      </c>
    </row>
    <row r="17" spans="1:4" ht="23.25" customHeight="1" x14ac:dyDescent="0.25">
      <c r="A17" s="16" t="s">
        <v>161</v>
      </c>
      <c r="B17" s="94">
        <v>28000</v>
      </c>
      <c r="C17" s="94">
        <v>41000</v>
      </c>
      <c r="D17" s="164">
        <f>C17-B17</f>
        <v>13000</v>
      </c>
    </row>
    <row r="18" spans="1:4" x14ac:dyDescent="0.25">
      <c r="A18" s="135" t="s">
        <v>154</v>
      </c>
      <c r="B18" s="93">
        <f t="shared" ref="B18:C18" si="6">B19+B20</f>
        <v>562950</v>
      </c>
      <c r="C18" s="93">
        <f t="shared" si="6"/>
        <v>741382.49000000011</v>
      </c>
      <c r="D18" s="93">
        <f t="shared" ref="D18" si="7">D19+D20</f>
        <v>178432.49000000005</v>
      </c>
    </row>
    <row r="19" spans="1:4" x14ac:dyDescent="0.25">
      <c r="A19" s="12" t="s">
        <v>160</v>
      </c>
      <c r="B19" s="94"/>
      <c r="C19" s="94">
        <v>4757.3100000000004</v>
      </c>
      <c r="D19" s="164">
        <f t="shared" ref="D19:D20" si="8">C19-B19</f>
        <v>4757.3100000000004</v>
      </c>
    </row>
    <row r="20" spans="1:4" x14ac:dyDescent="0.25">
      <c r="A20" s="12" t="s">
        <v>153</v>
      </c>
      <c r="B20" s="94">
        <v>562950</v>
      </c>
      <c r="C20" s="94">
        <f>3100+733525.18</f>
        <v>736625.18</v>
      </c>
      <c r="D20" s="164">
        <f t="shared" si="8"/>
        <v>173675.18000000005</v>
      </c>
    </row>
    <row r="23" spans="1:4" ht="15.75" customHeight="1" x14ac:dyDescent="0.25">
      <c r="A23" s="189" t="s">
        <v>152</v>
      </c>
      <c r="B23" s="189"/>
      <c r="C23" s="189"/>
      <c r="D23" s="189"/>
    </row>
    <row r="24" spans="1:4" ht="18" x14ac:dyDescent="0.25">
      <c r="A24" s="23"/>
      <c r="B24" s="23"/>
      <c r="C24" s="23"/>
      <c r="D24" s="5"/>
    </row>
    <row r="25" spans="1:4" ht="25.5" x14ac:dyDescent="0.25">
      <c r="A25" s="19" t="s">
        <v>151</v>
      </c>
      <c r="B25" s="19" t="s">
        <v>158</v>
      </c>
      <c r="C25" s="19" t="s">
        <v>168</v>
      </c>
      <c r="D25" s="19" t="s">
        <v>185</v>
      </c>
    </row>
    <row r="26" spans="1:4" x14ac:dyDescent="0.25">
      <c r="A26" s="132" t="s">
        <v>2</v>
      </c>
      <c r="B26" s="174">
        <f t="shared" ref="B26" si="9">B27+B29+B31+B34</f>
        <v>601550</v>
      </c>
      <c r="C26" s="174">
        <f t="shared" ref="C26:D26" si="10">C27+C29+C31+C34</f>
        <v>816735.03</v>
      </c>
      <c r="D26" s="174">
        <f t="shared" si="10"/>
        <v>215185.03</v>
      </c>
    </row>
    <row r="27" spans="1:4" s="136" customFormat="1" x14ac:dyDescent="0.25">
      <c r="A27" s="133" t="s">
        <v>150</v>
      </c>
      <c r="B27" s="175">
        <f t="shared" ref="B27" si="11">B28</f>
        <v>0</v>
      </c>
      <c r="C27" s="175">
        <f t="shared" ref="C27:D27" si="12">C28</f>
        <v>26933.05</v>
      </c>
      <c r="D27" s="175">
        <f t="shared" si="12"/>
        <v>26933.05</v>
      </c>
    </row>
    <row r="28" spans="1:4" x14ac:dyDescent="0.25">
      <c r="A28" s="12" t="s">
        <v>149</v>
      </c>
      <c r="B28" s="167"/>
      <c r="C28" s="167">
        <f>3404.46+828.59+22700</f>
        <v>26933.05</v>
      </c>
      <c r="D28" s="164">
        <f>C28-B28</f>
        <v>26933.05</v>
      </c>
    </row>
    <row r="29" spans="1:4" x14ac:dyDescent="0.25">
      <c r="A29" s="133" t="s">
        <v>148</v>
      </c>
      <c r="B29" s="93">
        <f t="shared" ref="B29" si="13">B30</f>
        <v>3100</v>
      </c>
      <c r="C29" s="93">
        <f t="shared" ref="C29:D29" si="14">C30</f>
        <v>1941.98</v>
      </c>
      <c r="D29" s="93">
        <f t="shared" si="14"/>
        <v>-1158.02</v>
      </c>
    </row>
    <row r="30" spans="1:4" x14ac:dyDescent="0.25">
      <c r="A30" s="12" t="s">
        <v>147</v>
      </c>
      <c r="B30" s="94">
        <v>3100</v>
      </c>
      <c r="C30" s="94">
        <v>1941.98</v>
      </c>
      <c r="D30" s="164">
        <f>C30-B30</f>
        <v>-1158.02</v>
      </c>
    </row>
    <row r="31" spans="1:4" ht="25.5" x14ac:dyDescent="0.25">
      <c r="A31" s="134" t="s">
        <v>156</v>
      </c>
      <c r="B31" s="93">
        <f t="shared" ref="B31" si="15">B32+B33</f>
        <v>35500</v>
      </c>
      <c r="C31" s="93">
        <f t="shared" ref="C31:D31" si="16">C32+C33</f>
        <v>47449.56</v>
      </c>
      <c r="D31" s="93">
        <f t="shared" si="16"/>
        <v>11949.560000000001</v>
      </c>
    </row>
    <row r="32" spans="1:4" ht="25.5" x14ac:dyDescent="0.25">
      <c r="A32" s="16" t="s">
        <v>155</v>
      </c>
      <c r="B32" s="94">
        <v>7500</v>
      </c>
      <c r="C32" s="94">
        <v>6296.66</v>
      </c>
      <c r="D32" s="164">
        <f t="shared" ref="D32:D33" si="17">C32-B32</f>
        <v>-1203.3400000000001</v>
      </c>
    </row>
    <row r="33" spans="1:4" x14ac:dyDescent="0.25">
      <c r="A33" s="16" t="s">
        <v>159</v>
      </c>
      <c r="B33" s="94">
        <v>28000</v>
      </c>
      <c r="C33" s="94">
        <f>29952.9+11200</f>
        <v>41152.9</v>
      </c>
      <c r="D33" s="164">
        <f t="shared" si="17"/>
        <v>13152.900000000001</v>
      </c>
    </row>
    <row r="34" spans="1:4" x14ac:dyDescent="0.25">
      <c r="A34" s="135" t="s">
        <v>154</v>
      </c>
      <c r="B34" s="93">
        <f t="shared" ref="B34" si="18">B35+B36</f>
        <v>562950</v>
      </c>
      <c r="C34" s="93">
        <f t="shared" ref="C34:D34" si="19">C35+C36</f>
        <v>740410.44000000006</v>
      </c>
      <c r="D34" s="93">
        <f t="shared" si="19"/>
        <v>177460.44</v>
      </c>
    </row>
    <row r="35" spans="1:4" x14ac:dyDescent="0.25">
      <c r="A35" s="12" t="s">
        <v>160</v>
      </c>
      <c r="B35" s="94"/>
      <c r="C35" s="94">
        <v>4757.3100000000004</v>
      </c>
      <c r="D35" s="164">
        <f t="shared" ref="D35:D36" si="20">C35-B35</f>
        <v>4757.3100000000004</v>
      </c>
    </row>
    <row r="36" spans="1:4" x14ac:dyDescent="0.25">
      <c r="A36" s="12" t="s">
        <v>153</v>
      </c>
      <c r="B36" s="94">
        <v>562950</v>
      </c>
      <c r="C36" s="94">
        <v>735653.13</v>
      </c>
      <c r="D36" s="164">
        <f t="shared" si="20"/>
        <v>172703.13</v>
      </c>
    </row>
  </sheetData>
  <mergeCells count="5">
    <mergeCell ref="A1:D1"/>
    <mergeCell ref="A3:D3"/>
    <mergeCell ref="A5:D5"/>
    <mergeCell ref="A7:D7"/>
    <mergeCell ref="A23:D23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C13" sqref="C1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189" t="s">
        <v>171</v>
      </c>
      <c r="B1" s="189"/>
      <c r="C1" s="189"/>
      <c r="D1" s="189"/>
    </row>
    <row r="2" spans="1:4" ht="18" customHeight="1" x14ac:dyDescent="0.25">
      <c r="A2" s="4"/>
      <c r="B2" s="4"/>
      <c r="C2" s="4"/>
      <c r="D2" s="4"/>
    </row>
    <row r="3" spans="1:4" ht="15.75" x14ac:dyDescent="0.25">
      <c r="A3" s="189" t="s">
        <v>24</v>
      </c>
      <c r="B3" s="189"/>
      <c r="C3" s="189"/>
      <c r="D3" s="196"/>
    </row>
    <row r="4" spans="1:4" ht="18" x14ac:dyDescent="0.25">
      <c r="A4" s="4"/>
      <c r="B4" s="4"/>
      <c r="C4" s="4"/>
      <c r="D4" s="5"/>
    </row>
    <row r="5" spans="1:4" ht="18" customHeight="1" x14ac:dyDescent="0.25">
      <c r="A5" s="189" t="s">
        <v>7</v>
      </c>
      <c r="B5" s="190"/>
      <c r="C5" s="190"/>
      <c r="D5" s="190"/>
    </row>
    <row r="6" spans="1:4" ht="18" x14ac:dyDescent="0.25">
      <c r="A6" s="4"/>
      <c r="B6" s="4"/>
      <c r="C6" s="4"/>
      <c r="D6" s="5"/>
    </row>
    <row r="7" spans="1:4" ht="15.75" x14ac:dyDescent="0.25">
      <c r="A7" s="189" t="s">
        <v>17</v>
      </c>
      <c r="B7" s="207"/>
      <c r="C7" s="207"/>
      <c r="D7" s="207"/>
    </row>
    <row r="8" spans="1:4" ht="18" x14ac:dyDescent="0.25">
      <c r="A8" s="4"/>
      <c r="B8" s="4"/>
      <c r="C8" s="4"/>
      <c r="D8" s="5"/>
    </row>
    <row r="9" spans="1:4" ht="25.5" x14ac:dyDescent="0.25">
      <c r="A9" s="19" t="s">
        <v>18</v>
      </c>
      <c r="B9" s="19" t="s">
        <v>158</v>
      </c>
      <c r="C9" s="19" t="s">
        <v>168</v>
      </c>
      <c r="D9" s="19" t="s">
        <v>185</v>
      </c>
    </row>
    <row r="10" spans="1:4" ht="15.75" customHeight="1" x14ac:dyDescent="0.25">
      <c r="A10" s="10" t="s">
        <v>19</v>
      </c>
      <c r="B10" s="79">
        <f>B11</f>
        <v>601550</v>
      </c>
      <c r="C10" s="79">
        <f>C11</f>
        <v>816735.03</v>
      </c>
      <c r="D10" s="164">
        <f>C10-B10</f>
        <v>215185.03000000003</v>
      </c>
    </row>
    <row r="11" spans="1:4" ht="15.75" customHeight="1" x14ac:dyDescent="0.25">
      <c r="A11" s="10" t="s">
        <v>99</v>
      </c>
      <c r="B11" s="79">
        <f t="shared" ref="B11:C11" si="0">SUM(B12,B13,B14)</f>
        <v>601550</v>
      </c>
      <c r="C11" s="79">
        <f t="shared" si="0"/>
        <v>816735.03</v>
      </c>
      <c r="D11" s="164">
        <f>C11-B11</f>
        <v>215185.03000000003</v>
      </c>
    </row>
    <row r="12" spans="1:4" x14ac:dyDescent="0.25">
      <c r="A12" s="16" t="s">
        <v>100</v>
      </c>
      <c r="B12" s="96">
        <f>601550-B13</f>
        <v>577350</v>
      </c>
      <c r="C12" s="96">
        <f>816735.03-C13-C14</f>
        <v>792539.89</v>
      </c>
      <c r="D12" s="164">
        <f>C12-B12</f>
        <v>215189.89</v>
      </c>
    </row>
    <row r="13" spans="1:4" x14ac:dyDescent="0.25">
      <c r="A13" s="17" t="s">
        <v>101</v>
      </c>
      <c r="B13" s="100">
        <v>24200</v>
      </c>
      <c r="C13" s="100">
        <v>24000</v>
      </c>
      <c r="D13" s="164">
        <f>C13-B13</f>
        <v>-200</v>
      </c>
    </row>
    <row r="14" spans="1:4" ht="29.25" customHeight="1" x14ac:dyDescent="0.25">
      <c r="A14" s="17" t="s">
        <v>102</v>
      </c>
      <c r="B14" s="96"/>
      <c r="C14" s="96">
        <v>195.14</v>
      </c>
      <c r="D14" s="164">
        <f>C14-B14</f>
        <v>195.14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E7" sqref="E7: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  <col min="7" max="7" width="12.42578125" customWidth="1"/>
  </cols>
  <sheetData>
    <row r="1" spans="1:7" ht="42" customHeight="1" x14ac:dyDescent="0.25">
      <c r="A1" s="189" t="s">
        <v>172</v>
      </c>
      <c r="B1" s="189"/>
      <c r="C1" s="189"/>
      <c r="D1" s="189"/>
      <c r="E1" s="189"/>
      <c r="F1" s="189"/>
    </row>
    <row r="2" spans="1:7" ht="18" customHeight="1" x14ac:dyDescent="0.25">
      <c r="A2" s="4"/>
      <c r="B2" s="4"/>
      <c r="C2" s="4"/>
      <c r="D2" s="4"/>
      <c r="E2" s="4"/>
      <c r="F2" s="4"/>
    </row>
    <row r="3" spans="1:7" ht="15.75" x14ac:dyDescent="0.25">
      <c r="A3" s="189" t="s">
        <v>24</v>
      </c>
      <c r="B3" s="189"/>
      <c r="C3" s="189"/>
      <c r="D3" s="189"/>
      <c r="E3" s="189"/>
      <c r="F3" s="189"/>
    </row>
    <row r="4" spans="1:7" ht="18" x14ac:dyDescent="0.25">
      <c r="A4" s="4"/>
      <c r="B4" s="4"/>
      <c r="C4" s="4"/>
      <c r="D4" s="4"/>
      <c r="E4" s="4"/>
      <c r="F4" s="4"/>
    </row>
    <row r="5" spans="1:7" ht="18" customHeight="1" x14ac:dyDescent="0.25">
      <c r="A5" s="189" t="s">
        <v>20</v>
      </c>
      <c r="B5" s="190"/>
      <c r="C5" s="190"/>
      <c r="D5" s="190"/>
      <c r="E5" s="190"/>
      <c r="F5" s="190"/>
    </row>
    <row r="6" spans="1:7" ht="18" x14ac:dyDescent="0.25">
      <c r="A6" s="4"/>
      <c r="B6" s="4"/>
      <c r="C6" s="4"/>
      <c r="D6" s="4"/>
      <c r="E6" s="4"/>
      <c r="F6" s="4"/>
    </row>
    <row r="7" spans="1:7" ht="38.25" x14ac:dyDescent="0.25">
      <c r="A7" s="19" t="s">
        <v>8</v>
      </c>
      <c r="B7" s="18" t="s">
        <v>9</v>
      </c>
      <c r="C7" s="18" t="s">
        <v>10</v>
      </c>
      <c r="D7" s="18" t="s">
        <v>39</v>
      </c>
      <c r="E7" s="19" t="s">
        <v>158</v>
      </c>
      <c r="F7" s="19" t="s">
        <v>168</v>
      </c>
      <c r="G7" s="19" t="s">
        <v>185</v>
      </c>
    </row>
    <row r="8" spans="1:7" ht="25.5" x14ac:dyDescent="0.25">
      <c r="A8" s="10">
        <v>8</v>
      </c>
      <c r="B8" s="10"/>
      <c r="C8" s="10"/>
      <c r="D8" s="10" t="s">
        <v>21</v>
      </c>
      <c r="E8" s="9"/>
      <c r="F8" s="9"/>
      <c r="G8" s="146"/>
    </row>
    <row r="9" spans="1:7" x14ac:dyDescent="0.25">
      <c r="A9" s="10"/>
      <c r="B9" s="15">
        <v>84</v>
      </c>
      <c r="C9" s="15"/>
      <c r="D9" s="15" t="s">
        <v>28</v>
      </c>
      <c r="E9" s="9"/>
      <c r="F9" s="9"/>
      <c r="G9" s="146"/>
    </row>
    <row r="10" spans="1:7" ht="25.5" x14ac:dyDescent="0.25">
      <c r="A10" s="11"/>
      <c r="B10" s="11"/>
      <c r="C10" s="12">
        <v>81</v>
      </c>
      <c r="D10" s="16" t="s">
        <v>29</v>
      </c>
      <c r="E10" s="9"/>
      <c r="F10" s="9"/>
      <c r="G10" s="146"/>
    </row>
    <row r="11" spans="1:7" ht="25.5" x14ac:dyDescent="0.25">
      <c r="A11" s="13">
        <v>5</v>
      </c>
      <c r="B11" s="14"/>
      <c r="C11" s="14"/>
      <c r="D11" s="24" t="s">
        <v>22</v>
      </c>
      <c r="E11" s="9"/>
      <c r="F11" s="9"/>
      <c r="G11" s="146"/>
    </row>
    <row r="12" spans="1:7" ht="25.5" x14ac:dyDescent="0.25">
      <c r="A12" s="15"/>
      <c r="B12" s="15">
        <v>54</v>
      </c>
      <c r="C12" s="15"/>
      <c r="D12" s="25" t="s">
        <v>30</v>
      </c>
      <c r="E12" s="9"/>
      <c r="F12" s="9"/>
      <c r="G12" s="146"/>
    </row>
    <row r="13" spans="1:7" x14ac:dyDescent="0.25">
      <c r="A13" s="15"/>
      <c r="B13" s="15"/>
      <c r="C13" s="12">
        <v>11</v>
      </c>
      <c r="D13" s="12" t="s">
        <v>12</v>
      </c>
      <c r="E13" s="9"/>
      <c r="F13" s="9"/>
      <c r="G13" s="146"/>
    </row>
    <row r="14" spans="1:7" x14ac:dyDescent="0.25">
      <c r="A14" s="15"/>
      <c r="B14" s="15"/>
      <c r="C14" s="12">
        <v>31</v>
      </c>
      <c r="D14" s="12" t="s">
        <v>31</v>
      </c>
      <c r="E14" s="9"/>
      <c r="F14" s="9"/>
      <c r="G14" s="146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7" sqref="B7:D7"/>
    </sheetView>
  </sheetViews>
  <sheetFormatPr defaultRowHeight="15" x14ac:dyDescent="0.25"/>
  <cols>
    <col min="1" max="4" width="25.28515625" customWidth="1"/>
  </cols>
  <sheetData>
    <row r="1" spans="1:6" ht="39" customHeight="1" x14ac:dyDescent="0.25">
      <c r="A1" s="189" t="s">
        <v>172</v>
      </c>
      <c r="B1" s="189"/>
      <c r="C1" s="189"/>
      <c r="D1" s="189"/>
      <c r="E1" s="189"/>
      <c r="F1" s="189"/>
    </row>
    <row r="2" spans="1:6" ht="18" x14ac:dyDescent="0.25">
      <c r="A2" s="23"/>
      <c r="B2" s="23"/>
      <c r="C2" s="23"/>
      <c r="D2" s="23"/>
    </row>
    <row r="3" spans="1:6" ht="15.75" x14ac:dyDescent="0.25">
      <c r="A3" s="189" t="s">
        <v>24</v>
      </c>
      <c r="B3" s="189"/>
      <c r="C3" s="189"/>
      <c r="D3" s="189"/>
    </row>
    <row r="4" spans="1:6" ht="18" x14ac:dyDescent="0.25">
      <c r="A4" s="23"/>
      <c r="B4" s="23"/>
      <c r="C4" s="23"/>
      <c r="D4" s="5"/>
    </row>
    <row r="5" spans="1:6" ht="15.75" customHeight="1" x14ac:dyDescent="0.25">
      <c r="A5" s="189" t="s">
        <v>162</v>
      </c>
      <c r="B5" s="189"/>
      <c r="C5" s="189"/>
      <c r="D5" s="189"/>
    </row>
    <row r="6" spans="1:6" ht="18" x14ac:dyDescent="0.25">
      <c r="A6" s="23"/>
      <c r="B6" s="23"/>
      <c r="C6" s="23"/>
      <c r="D6" s="5"/>
    </row>
    <row r="7" spans="1:6" ht="25.5" x14ac:dyDescent="0.25">
      <c r="A7" s="18" t="s">
        <v>151</v>
      </c>
      <c r="B7" s="19" t="s">
        <v>158</v>
      </c>
      <c r="C7" s="19" t="s">
        <v>168</v>
      </c>
      <c r="D7" s="19" t="s">
        <v>185</v>
      </c>
    </row>
    <row r="8" spans="1:6" x14ac:dyDescent="0.25">
      <c r="A8" s="10" t="s">
        <v>163</v>
      </c>
      <c r="B8" s="9"/>
      <c r="C8" s="9"/>
      <c r="D8" s="9"/>
    </row>
    <row r="9" spans="1:6" ht="25.5" x14ac:dyDescent="0.25">
      <c r="A9" s="10" t="s">
        <v>164</v>
      </c>
      <c r="B9" s="9"/>
      <c r="C9" s="9"/>
      <c r="D9" s="9"/>
    </row>
    <row r="10" spans="1:6" ht="25.5" x14ac:dyDescent="0.25">
      <c r="A10" s="16" t="s">
        <v>165</v>
      </c>
      <c r="B10" s="9"/>
      <c r="C10" s="9"/>
      <c r="D10" s="9"/>
    </row>
    <row r="11" spans="1:6" x14ac:dyDescent="0.25">
      <c r="A11" s="16"/>
      <c r="B11" s="9"/>
      <c r="C11" s="9"/>
      <c r="D11" s="9"/>
    </row>
    <row r="12" spans="1:6" x14ac:dyDescent="0.25">
      <c r="A12" s="10" t="s">
        <v>166</v>
      </c>
      <c r="B12" s="9"/>
      <c r="C12" s="9"/>
      <c r="D12" s="9"/>
    </row>
    <row r="13" spans="1:6" x14ac:dyDescent="0.25">
      <c r="A13" s="24" t="s">
        <v>150</v>
      </c>
      <c r="B13" s="9"/>
      <c r="C13" s="9"/>
      <c r="D13" s="9"/>
    </row>
    <row r="14" spans="1:6" x14ac:dyDescent="0.25">
      <c r="A14" s="12" t="s">
        <v>149</v>
      </c>
      <c r="B14" s="9"/>
      <c r="C14" s="9"/>
      <c r="D14" s="9"/>
    </row>
    <row r="15" spans="1:6" x14ac:dyDescent="0.25">
      <c r="A15" s="24" t="s">
        <v>148</v>
      </c>
      <c r="B15" s="9"/>
      <c r="C15" s="9"/>
      <c r="D15" s="9"/>
    </row>
    <row r="16" spans="1:6" x14ac:dyDescent="0.25">
      <c r="A16" s="12" t="s">
        <v>147</v>
      </c>
      <c r="B16" s="9"/>
      <c r="C16" s="9"/>
      <c r="D16" s="9"/>
    </row>
  </sheetData>
  <mergeCells count="3">
    <mergeCell ref="A3:D3"/>
    <mergeCell ref="A5:D5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topLeftCell="A13" zoomScaleNormal="100" workbookViewId="0">
      <selection activeCell="K37" sqref="K37"/>
    </sheetView>
  </sheetViews>
  <sheetFormatPr defaultRowHeight="15" x14ac:dyDescent="0.25"/>
  <cols>
    <col min="1" max="1" width="7.42578125" bestFit="1" customWidth="1"/>
    <col min="2" max="2" width="8.42578125" customWidth="1"/>
    <col min="3" max="3" width="8.7109375" customWidth="1"/>
    <col min="4" max="4" width="30" customWidth="1"/>
    <col min="5" max="7" width="15.42578125" customWidth="1"/>
  </cols>
  <sheetData>
    <row r="1" spans="1:7" ht="29.25" customHeight="1" x14ac:dyDescent="0.25">
      <c r="A1" s="189" t="s">
        <v>171</v>
      </c>
      <c r="B1" s="189"/>
      <c r="C1" s="189"/>
      <c r="D1" s="189"/>
      <c r="E1" s="189"/>
      <c r="F1" s="189"/>
      <c r="G1" s="203"/>
    </row>
    <row r="2" spans="1:7" ht="18" x14ac:dyDescent="0.25">
      <c r="A2" s="4"/>
      <c r="B2" s="4"/>
      <c r="C2" s="4"/>
      <c r="D2" s="4"/>
      <c r="E2" s="4"/>
      <c r="F2" s="5"/>
      <c r="G2" s="163"/>
    </row>
    <row r="3" spans="1:7" ht="18" customHeight="1" x14ac:dyDescent="0.25">
      <c r="A3" s="189" t="s">
        <v>23</v>
      </c>
      <c r="B3" s="190"/>
      <c r="C3" s="190"/>
      <c r="D3" s="190"/>
      <c r="E3" s="190"/>
      <c r="F3" s="190"/>
      <c r="G3" s="162"/>
    </row>
    <row r="4" spans="1:7" ht="38.25" x14ac:dyDescent="0.25">
      <c r="A4" s="213" t="s">
        <v>25</v>
      </c>
      <c r="B4" s="214"/>
      <c r="C4" s="215"/>
      <c r="D4" s="18" t="s">
        <v>26</v>
      </c>
      <c r="E4" s="19" t="s">
        <v>158</v>
      </c>
      <c r="F4" s="19" t="s">
        <v>173</v>
      </c>
      <c r="G4" s="19" t="s">
        <v>185</v>
      </c>
    </row>
    <row r="5" spans="1:7" ht="15" customHeight="1" x14ac:dyDescent="0.25">
      <c r="A5" s="210" t="s">
        <v>98</v>
      </c>
      <c r="B5" s="211"/>
      <c r="C5" s="212"/>
      <c r="D5" s="141" t="s">
        <v>32</v>
      </c>
      <c r="E5" s="8"/>
      <c r="F5" s="8"/>
      <c r="G5" s="8"/>
    </row>
    <row r="6" spans="1:7" ht="15" customHeight="1" x14ac:dyDescent="0.25">
      <c r="A6" s="210" t="s">
        <v>174</v>
      </c>
      <c r="B6" s="211"/>
      <c r="C6" s="212"/>
      <c r="D6" s="147" t="s">
        <v>175</v>
      </c>
      <c r="E6" s="8"/>
      <c r="F6" s="8"/>
      <c r="G6" s="8"/>
    </row>
    <row r="7" spans="1:7" x14ac:dyDescent="0.25">
      <c r="A7" s="216">
        <v>11</v>
      </c>
      <c r="B7" s="217"/>
      <c r="C7" s="218"/>
      <c r="D7" s="142" t="s">
        <v>12</v>
      </c>
      <c r="E7" s="8"/>
      <c r="F7" s="8"/>
      <c r="G7" s="8"/>
    </row>
    <row r="8" spans="1:7" x14ac:dyDescent="0.25">
      <c r="A8" s="219">
        <v>3</v>
      </c>
      <c r="B8" s="220"/>
      <c r="C8" s="221"/>
      <c r="D8" s="148" t="s">
        <v>15</v>
      </c>
      <c r="E8" s="149">
        <f>SUM(E9+E18)</f>
        <v>0</v>
      </c>
      <c r="F8" s="149">
        <f>SUM(F9+F18)</f>
        <v>3404.46</v>
      </c>
      <c r="G8" s="149">
        <f>SUM(G9+G18)</f>
        <v>3404.46</v>
      </c>
    </row>
    <row r="9" spans="1:7" x14ac:dyDescent="0.25">
      <c r="A9" s="222">
        <v>31</v>
      </c>
      <c r="B9" s="223"/>
      <c r="C9" s="224"/>
      <c r="D9" s="41" t="s">
        <v>16</v>
      </c>
      <c r="E9" s="80">
        <f t="shared" ref="E9:F9" si="0">SUM(E10+E14+E16)</f>
        <v>0</v>
      </c>
      <c r="F9" s="80">
        <f t="shared" si="0"/>
        <v>3202.68</v>
      </c>
      <c r="G9" s="80">
        <f t="shared" ref="G9" si="1">SUM(G10+G14+G16)</f>
        <v>3202.68</v>
      </c>
    </row>
    <row r="10" spans="1:7" x14ac:dyDescent="0.25">
      <c r="A10" s="37">
        <v>311</v>
      </c>
      <c r="B10" s="38"/>
      <c r="C10" s="39"/>
      <c r="D10" s="40" t="s">
        <v>40</v>
      </c>
      <c r="E10" s="81">
        <f t="shared" ref="E10:F10" si="2">SUM(E11:E13)</f>
        <v>0</v>
      </c>
      <c r="F10" s="81">
        <f t="shared" si="2"/>
        <v>2568.83</v>
      </c>
      <c r="G10" s="81">
        <f t="shared" ref="G10" si="3">SUM(G11:G13)</f>
        <v>2568.83</v>
      </c>
    </row>
    <row r="11" spans="1:7" x14ac:dyDescent="0.25">
      <c r="A11" s="83">
        <v>3111</v>
      </c>
      <c r="B11" s="84"/>
      <c r="C11" s="85"/>
      <c r="D11" s="82" t="s">
        <v>52</v>
      </c>
      <c r="E11" s="79"/>
      <c r="F11" s="79">
        <v>2568.83</v>
      </c>
      <c r="G11" s="165">
        <f>F11-E11</f>
        <v>2568.83</v>
      </c>
    </row>
    <row r="12" spans="1:7" x14ac:dyDescent="0.25">
      <c r="A12" s="83">
        <v>3113</v>
      </c>
      <c r="B12" s="84"/>
      <c r="C12" s="85"/>
      <c r="D12" s="82" t="s">
        <v>53</v>
      </c>
      <c r="E12" s="79"/>
      <c r="F12" s="79"/>
      <c r="G12" s="79"/>
    </row>
    <row r="13" spans="1:7" x14ac:dyDescent="0.25">
      <c r="A13" s="83">
        <v>3114</v>
      </c>
      <c r="B13" s="84"/>
      <c r="C13" s="85"/>
      <c r="D13" s="82" t="s">
        <v>54</v>
      </c>
      <c r="E13" s="79"/>
      <c r="F13" s="79"/>
      <c r="G13" s="79"/>
    </row>
    <row r="14" spans="1:7" x14ac:dyDescent="0.25">
      <c r="A14" s="37">
        <v>312</v>
      </c>
      <c r="B14" s="38"/>
      <c r="C14" s="39"/>
      <c r="D14" s="40" t="s">
        <v>55</v>
      </c>
      <c r="E14" s="81">
        <f t="shared" ref="E14:G14" si="4">SUM(E15)</f>
        <v>0</v>
      </c>
      <c r="F14" s="81">
        <f t="shared" si="4"/>
        <v>210</v>
      </c>
      <c r="G14" s="81">
        <f t="shared" si="4"/>
        <v>210</v>
      </c>
    </row>
    <row r="15" spans="1:7" x14ac:dyDescent="0.25">
      <c r="A15" s="83">
        <v>3121</v>
      </c>
      <c r="B15" s="84"/>
      <c r="C15" s="85"/>
      <c r="D15" s="82" t="s">
        <v>56</v>
      </c>
      <c r="E15" s="79"/>
      <c r="F15" s="79">
        <v>210</v>
      </c>
      <c r="G15" s="165">
        <f>F15-E15</f>
        <v>210</v>
      </c>
    </row>
    <row r="16" spans="1:7" x14ac:dyDescent="0.25">
      <c r="A16" s="37">
        <v>313</v>
      </c>
      <c r="B16" s="38"/>
      <c r="C16" s="39"/>
      <c r="D16" s="40" t="s">
        <v>41</v>
      </c>
      <c r="E16" s="81">
        <f>SUM(E17:E17)</f>
        <v>0</v>
      </c>
      <c r="F16" s="81">
        <f>SUM(F17:F17)</f>
        <v>423.85</v>
      </c>
      <c r="G16" s="81">
        <f>SUM(G17:G17)</f>
        <v>423.85</v>
      </c>
    </row>
    <row r="17" spans="1:7" ht="25.5" x14ac:dyDescent="0.25">
      <c r="A17" s="83">
        <v>3132</v>
      </c>
      <c r="B17" s="84"/>
      <c r="C17" s="85"/>
      <c r="D17" s="82" t="s">
        <v>57</v>
      </c>
      <c r="E17" s="79"/>
      <c r="F17" s="79">
        <v>423.85</v>
      </c>
      <c r="G17" s="165">
        <f>F17-E17</f>
        <v>423.85</v>
      </c>
    </row>
    <row r="18" spans="1:7" x14ac:dyDescent="0.25">
      <c r="A18" s="222">
        <v>32</v>
      </c>
      <c r="B18" s="223"/>
      <c r="C18" s="224"/>
      <c r="D18" s="41" t="s">
        <v>27</v>
      </c>
      <c r="E18" s="80">
        <f t="shared" ref="E18:G18" si="5">SUM(E19)</f>
        <v>0</v>
      </c>
      <c r="F18" s="80">
        <f t="shared" si="5"/>
        <v>201.78</v>
      </c>
      <c r="G18" s="80">
        <f t="shared" si="5"/>
        <v>201.78</v>
      </c>
    </row>
    <row r="19" spans="1:7" x14ac:dyDescent="0.25">
      <c r="A19" s="37">
        <v>321</v>
      </c>
      <c r="B19" s="38"/>
      <c r="C19" s="39"/>
      <c r="D19" s="40" t="s">
        <v>42</v>
      </c>
      <c r="E19" s="81">
        <f t="shared" ref="E19:F19" si="6">SUM(E20:E23)</f>
        <v>0</v>
      </c>
      <c r="F19" s="81">
        <f t="shared" si="6"/>
        <v>201.78</v>
      </c>
      <c r="G19" s="81">
        <f t="shared" ref="G19" si="7">SUM(G20:G23)</f>
        <v>201.78</v>
      </c>
    </row>
    <row r="20" spans="1:7" x14ac:dyDescent="0.25">
      <c r="A20" s="83">
        <v>3211</v>
      </c>
      <c r="B20" s="84"/>
      <c r="C20" s="85"/>
      <c r="D20" s="82" t="s">
        <v>58</v>
      </c>
      <c r="E20" s="79"/>
      <c r="F20" s="79"/>
      <c r="G20" s="79"/>
    </row>
    <row r="21" spans="1:7" ht="25.5" x14ac:dyDescent="0.25">
      <c r="A21" s="83">
        <v>3212</v>
      </c>
      <c r="B21" s="84"/>
      <c r="C21" s="85"/>
      <c r="D21" s="82" t="s">
        <v>126</v>
      </c>
      <c r="E21" s="79"/>
      <c r="F21" s="79">
        <f>110.84+90.94</f>
        <v>201.78</v>
      </c>
      <c r="G21" s="165">
        <f>F21-E21</f>
        <v>201.78</v>
      </c>
    </row>
    <row r="22" spans="1:7" x14ac:dyDescent="0.25">
      <c r="A22" s="83">
        <v>3213</v>
      </c>
      <c r="B22" s="84"/>
      <c r="C22" s="85"/>
      <c r="D22" s="82" t="s">
        <v>60</v>
      </c>
      <c r="E22" s="79"/>
      <c r="F22" s="79"/>
      <c r="G22" s="79"/>
    </row>
    <row r="23" spans="1:7" ht="25.5" x14ac:dyDescent="0.25">
      <c r="A23" s="83">
        <v>3214</v>
      </c>
      <c r="B23" s="84"/>
      <c r="C23" s="85"/>
      <c r="D23" s="82" t="s">
        <v>61</v>
      </c>
      <c r="E23" s="79"/>
      <c r="F23" s="79"/>
      <c r="G23" s="79"/>
    </row>
    <row r="24" spans="1:7" x14ac:dyDescent="0.25">
      <c r="A24" s="83"/>
      <c r="B24" s="84"/>
      <c r="C24" s="85"/>
      <c r="D24" s="150" t="s">
        <v>97</v>
      </c>
      <c r="E24" s="153">
        <f>SUM(E8)</f>
        <v>0</v>
      </c>
      <c r="F24" s="153">
        <f>SUM(F8)</f>
        <v>3404.46</v>
      </c>
      <c r="G24" s="153">
        <f>SUM(G8)</f>
        <v>3404.46</v>
      </c>
    </row>
    <row r="25" spans="1:7" x14ac:dyDescent="0.25">
      <c r="A25" s="83"/>
      <c r="B25" s="84"/>
      <c r="C25" s="85"/>
      <c r="D25" s="82"/>
      <c r="E25" s="8"/>
      <c r="F25" s="8"/>
      <c r="G25" s="8"/>
    </row>
    <row r="26" spans="1:7" ht="38.25" x14ac:dyDescent="0.25">
      <c r="A26" s="213" t="s">
        <v>25</v>
      </c>
      <c r="B26" s="214"/>
      <c r="C26" s="215"/>
      <c r="D26" s="18" t="s">
        <v>26</v>
      </c>
      <c r="E26" s="19" t="s">
        <v>158</v>
      </c>
      <c r="F26" s="154" t="s">
        <v>173</v>
      </c>
      <c r="G26" s="19" t="s">
        <v>185</v>
      </c>
    </row>
    <row r="27" spans="1:7" ht="15" customHeight="1" x14ac:dyDescent="0.25">
      <c r="A27" s="210" t="s">
        <v>98</v>
      </c>
      <c r="B27" s="211"/>
      <c r="C27" s="212"/>
      <c r="D27" s="141" t="s">
        <v>32</v>
      </c>
      <c r="E27" s="8"/>
      <c r="F27" s="79"/>
      <c r="G27" s="8"/>
    </row>
    <row r="28" spans="1:7" ht="25.5" customHeight="1" x14ac:dyDescent="0.25">
      <c r="A28" s="210" t="s">
        <v>176</v>
      </c>
      <c r="B28" s="211"/>
      <c r="C28" s="212"/>
      <c r="D28" s="141" t="s">
        <v>177</v>
      </c>
      <c r="E28" s="79"/>
      <c r="F28" s="79"/>
      <c r="G28" s="79"/>
    </row>
    <row r="29" spans="1:7" x14ac:dyDescent="0.25">
      <c r="A29" s="216">
        <v>11</v>
      </c>
      <c r="B29" s="217"/>
      <c r="C29" s="218"/>
      <c r="D29" s="142" t="s">
        <v>12</v>
      </c>
      <c r="E29" s="79"/>
      <c r="F29" s="79"/>
      <c r="G29" s="79"/>
    </row>
    <row r="30" spans="1:7" x14ac:dyDescent="0.25">
      <c r="A30" s="219">
        <v>3</v>
      </c>
      <c r="B30" s="220"/>
      <c r="C30" s="221"/>
      <c r="D30" s="148" t="s">
        <v>15</v>
      </c>
      <c r="E30" s="149">
        <f>SUM(E31+E40)</f>
        <v>0</v>
      </c>
      <c r="F30" s="149">
        <f>SUM(F31+F40)</f>
        <v>828.59</v>
      </c>
      <c r="G30" s="149">
        <f>SUM(G31+G40)</f>
        <v>828.59</v>
      </c>
    </row>
    <row r="31" spans="1:7" x14ac:dyDescent="0.25">
      <c r="A31" s="222">
        <v>31</v>
      </c>
      <c r="B31" s="223"/>
      <c r="C31" s="224"/>
      <c r="D31" s="41" t="s">
        <v>16</v>
      </c>
      <c r="E31" s="80">
        <f t="shared" ref="E31:F31" si="8">SUM(E32+E36+E38)</f>
        <v>0</v>
      </c>
      <c r="F31" s="80">
        <f t="shared" si="8"/>
        <v>816.51</v>
      </c>
      <c r="G31" s="80">
        <f t="shared" ref="G31" si="9">SUM(G32+G36+G38)</f>
        <v>816.51</v>
      </c>
    </row>
    <row r="32" spans="1:7" x14ac:dyDescent="0.25">
      <c r="A32" s="37">
        <v>311</v>
      </c>
      <c r="B32" s="38"/>
      <c r="C32" s="39"/>
      <c r="D32" s="40" t="s">
        <v>40</v>
      </c>
      <c r="E32" s="81">
        <f t="shared" ref="E32:F32" si="10">SUM(E33:E35)</f>
        <v>0</v>
      </c>
      <c r="F32" s="81">
        <f t="shared" si="10"/>
        <v>417.6</v>
      </c>
      <c r="G32" s="81">
        <f t="shared" ref="G32" si="11">SUM(G33:G35)</f>
        <v>417.6</v>
      </c>
    </row>
    <row r="33" spans="1:7" x14ac:dyDescent="0.25">
      <c r="A33" s="83">
        <v>3111</v>
      </c>
      <c r="B33" s="84"/>
      <c r="C33" s="85"/>
      <c r="D33" s="82" t="s">
        <v>52</v>
      </c>
      <c r="E33" s="79"/>
      <c r="F33" s="79">
        <f>211.2+206.4</f>
        <v>417.6</v>
      </c>
      <c r="G33" s="165">
        <f>F33-E33</f>
        <v>417.6</v>
      </c>
    </row>
    <row r="34" spans="1:7" x14ac:dyDescent="0.25">
      <c r="A34" s="83">
        <v>3113</v>
      </c>
      <c r="B34" s="84"/>
      <c r="C34" s="85"/>
      <c r="D34" s="82" t="s">
        <v>53</v>
      </c>
      <c r="E34" s="79"/>
      <c r="F34" s="79"/>
      <c r="G34" s="79"/>
    </row>
    <row r="35" spans="1:7" x14ac:dyDescent="0.25">
      <c r="A35" s="83">
        <v>3114</v>
      </c>
      <c r="B35" s="84"/>
      <c r="C35" s="85"/>
      <c r="D35" s="82" t="s">
        <v>54</v>
      </c>
      <c r="E35" s="79"/>
      <c r="F35" s="79"/>
      <c r="G35" s="79"/>
    </row>
    <row r="36" spans="1:7" x14ac:dyDescent="0.25">
      <c r="A36" s="37">
        <v>312</v>
      </c>
      <c r="B36" s="38"/>
      <c r="C36" s="39"/>
      <c r="D36" s="40" t="s">
        <v>55</v>
      </c>
      <c r="E36" s="81">
        <f t="shared" ref="E36:G36" si="12">SUM(E37)</f>
        <v>0</v>
      </c>
      <c r="F36" s="81">
        <f t="shared" si="12"/>
        <v>330</v>
      </c>
      <c r="G36" s="81">
        <f t="shared" si="12"/>
        <v>330</v>
      </c>
    </row>
    <row r="37" spans="1:7" x14ac:dyDescent="0.25">
      <c r="A37" s="83">
        <v>3121</v>
      </c>
      <c r="B37" s="84"/>
      <c r="C37" s="85"/>
      <c r="D37" s="82" t="s">
        <v>56</v>
      </c>
      <c r="E37" s="79"/>
      <c r="F37" s="79">
        <v>330</v>
      </c>
      <c r="G37" s="165">
        <f>F37-E37</f>
        <v>330</v>
      </c>
    </row>
    <row r="38" spans="1:7" x14ac:dyDescent="0.25">
      <c r="A38" s="37">
        <v>313</v>
      </c>
      <c r="B38" s="38"/>
      <c r="C38" s="39"/>
      <c r="D38" s="40" t="s">
        <v>41</v>
      </c>
      <c r="E38" s="81">
        <f t="shared" ref="E38:F38" si="13">SUM(E39:E39)</f>
        <v>0</v>
      </c>
      <c r="F38" s="81">
        <f t="shared" si="13"/>
        <v>68.91</v>
      </c>
      <c r="G38" s="81">
        <f>SUM(G39:G39)</f>
        <v>68.91</v>
      </c>
    </row>
    <row r="39" spans="1:7" ht="25.5" x14ac:dyDescent="0.25">
      <c r="A39" s="83">
        <v>3132</v>
      </c>
      <c r="B39" s="84"/>
      <c r="C39" s="85"/>
      <c r="D39" s="82" t="s">
        <v>57</v>
      </c>
      <c r="E39" s="79"/>
      <c r="F39" s="79">
        <f>34.85+34.06</f>
        <v>68.91</v>
      </c>
      <c r="G39" s="165">
        <f>F39-E39</f>
        <v>68.91</v>
      </c>
    </row>
    <row r="40" spans="1:7" x14ac:dyDescent="0.25">
      <c r="A40" s="222">
        <v>32</v>
      </c>
      <c r="B40" s="223"/>
      <c r="C40" s="224"/>
      <c r="D40" s="41" t="s">
        <v>27</v>
      </c>
      <c r="E40" s="80">
        <f t="shared" ref="E40:G40" si="14">SUM(E41)</f>
        <v>0</v>
      </c>
      <c r="F40" s="80">
        <f t="shared" si="14"/>
        <v>12.08</v>
      </c>
      <c r="G40" s="80">
        <f t="shared" si="14"/>
        <v>12.08</v>
      </c>
    </row>
    <row r="41" spans="1:7" x14ac:dyDescent="0.25">
      <c r="A41" s="37">
        <v>321</v>
      </c>
      <c r="B41" s="38"/>
      <c r="C41" s="39"/>
      <c r="D41" s="40" t="s">
        <v>42</v>
      </c>
      <c r="E41" s="81">
        <f t="shared" ref="E41:F41" si="15">SUM(E42:E45)</f>
        <v>0</v>
      </c>
      <c r="F41" s="81">
        <f t="shared" si="15"/>
        <v>12.08</v>
      </c>
      <c r="G41" s="81">
        <f t="shared" ref="G41" si="16">SUM(G42:G45)</f>
        <v>12.08</v>
      </c>
    </row>
    <row r="42" spans="1:7" x14ac:dyDescent="0.25">
      <c r="A42" s="83">
        <v>3211</v>
      </c>
      <c r="B42" s="84"/>
      <c r="C42" s="85"/>
      <c r="D42" s="82" t="s">
        <v>58</v>
      </c>
      <c r="E42" s="79"/>
      <c r="F42" s="79">
        <v>3</v>
      </c>
      <c r="G42" s="165">
        <f t="shared" ref="G42:G43" si="17">F42-E42</f>
        <v>3</v>
      </c>
    </row>
    <row r="43" spans="1:7" ht="25.5" x14ac:dyDescent="0.25">
      <c r="A43" s="83">
        <v>3212</v>
      </c>
      <c r="B43" s="84"/>
      <c r="C43" s="85"/>
      <c r="D43" s="82" t="s">
        <v>126</v>
      </c>
      <c r="E43" s="79"/>
      <c r="F43" s="79">
        <f>4.83+4.25</f>
        <v>9.08</v>
      </c>
      <c r="G43" s="165">
        <f t="shared" si="17"/>
        <v>9.08</v>
      </c>
    </row>
    <row r="44" spans="1:7" x14ac:dyDescent="0.25">
      <c r="A44" s="83">
        <v>3213</v>
      </c>
      <c r="B44" s="84"/>
      <c r="C44" s="85"/>
      <c r="D44" s="82" t="s">
        <v>60</v>
      </c>
      <c r="E44" s="79"/>
      <c r="F44" s="79"/>
      <c r="G44" s="79"/>
    </row>
    <row r="45" spans="1:7" ht="25.5" x14ac:dyDescent="0.25">
      <c r="A45" s="83">
        <v>3214</v>
      </c>
      <c r="B45" s="84"/>
      <c r="C45" s="85"/>
      <c r="D45" s="82" t="s">
        <v>61</v>
      </c>
      <c r="E45" s="79"/>
      <c r="F45" s="79"/>
      <c r="G45" s="79"/>
    </row>
    <row r="46" spans="1:7" x14ac:dyDescent="0.25">
      <c r="A46" s="83"/>
      <c r="B46" s="84"/>
      <c r="C46" s="85"/>
      <c r="D46" s="150" t="s">
        <v>97</v>
      </c>
      <c r="E46" s="153">
        <f>SUM(E30)</f>
        <v>0</v>
      </c>
      <c r="F46" s="153">
        <f>SUM(F30)</f>
        <v>828.59</v>
      </c>
      <c r="G46" s="153">
        <f>SUM(G30)</f>
        <v>828.59</v>
      </c>
    </row>
    <row r="47" spans="1:7" x14ac:dyDescent="0.25">
      <c r="A47" s="83"/>
      <c r="B47" s="84"/>
      <c r="C47" s="85"/>
      <c r="D47" s="82"/>
      <c r="E47" s="8"/>
      <c r="F47" s="79"/>
      <c r="G47" s="8"/>
    </row>
    <row r="48" spans="1:7" ht="38.25" x14ac:dyDescent="0.25">
      <c r="A48" s="213" t="s">
        <v>25</v>
      </c>
      <c r="B48" s="214"/>
      <c r="C48" s="215"/>
      <c r="D48" s="18" t="s">
        <v>26</v>
      </c>
      <c r="E48" s="19" t="s">
        <v>158</v>
      </c>
      <c r="F48" s="19" t="s">
        <v>173</v>
      </c>
      <c r="G48" s="19" t="s">
        <v>185</v>
      </c>
    </row>
    <row r="49" spans="1:7" ht="15" customHeight="1" x14ac:dyDescent="0.25">
      <c r="A49" s="210" t="s">
        <v>98</v>
      </c>
      <c r="B49" s="211"/>
      <c r="C49" s="212"/>
      <c r="D49" s="177" t="s">
        <v>32</v>
      </c>
      <c r="E49" s="8"/>
      <c r="F49" s="8"/>
      <c r="G49" s="8"/>
    </row>
    <row r="50" spans="1:7" ht="36" customHeight="1" x14ac:dyDescent="0.25">
      <c r="A50" s="210" t="s">
        <v>186</v>
      </c>
      <c r="B50" s="211"/>
      <c r="C50" s="212"/>
      <c r="D50" s="177" t="s">
        <v>187</v>
      </c>
      <c r="E50" s="8"/>
      <c r="F50" s="8"/>
      <c r="G50" s="8"/>
    </row>
    <row r="51" spans="1:7" ht="17.25" customHeight="1" x14ac:dyDescent="0.25">
      <c r="A51" s="216">
        <v>11</v>
      </c>
      <c r="B51" s="217"/>
      <c r="C51" s="218"/>
      <c r="D51" s="178" t="s">
        <v>12</v>
      </c>
      <c r="E51" s="8"/>
      <c r="F51" s="8"/>
      <c r="G51" s="8"/>
    </row>
    <row r="52" spans="1:7" ht="25.5" customHeight="1" x14ac:dyDescent="0.25">
      <c r="A52" s="219">
        <v>3</v>
      </c>
      <c r="B52" s="220"/>
      <c r="C52" s="221"/>
      <c r="D52" s="182" t="s">
        <v>15</v>
      </c>
      <c r="E52" s="151">
        <f t="shared" ref="E52:G52" si="18">SUM(E53)</f>
        <v>0</v>
      </c>
      <c r="F52" s="151">
        <f>SUM(F53)</f>
        <v>22700</v>
      </c>
      <c r="G52" s="151">
        <f t="shared" si="18"/>
        <v>22700</v>
      </c>
    </row>
    <row r="53" spans="1:7" x14ac:dyDescent="0.25">
      <c r="A53" s="222">
        <v>32</v>
      </c>
      <c r="B53" s="223"/>
      <c r="C53" s="224"/>
      <c r="D53" s="41" t="s">
        <v>27</v>
      </c>
      <c r="E53" s="92"/>
      <c r="F53" s="92">
        <f>F54</f>
        <v>22700</v>
      </c>
      <c r="G53" s="92">
        <f>G54</f>
        <v>22700</v>
      </c>
    </row>
    <row r="54" spans="1:7" x14ac:dyDescent="0.25">
      <c r="A54" s="37">
        <v>323</v>
      </c>
      <c r="B54" s="38"/>
      <c r="C54" s="39"/>
      <c r="D54" s="40" t="s">
        <v>44</v>
      </c>
      <c r="E54" s="93"/>
      <c r="F54" s="93">
        <f>F55</f>
        <v>22700</v>
      </c>
      <c r="G54" s="93">
        <f>G55</f>
        <v>22700</v>
      </c>
    </row>
    <row r="55" spans="1:7" x14ac:dyDescent="0.25">
      <c r="A55" s="83">
        <v>3237</v>
      </c>
      <c r="B55" s="84"/>
      <c r="C55" s="85"/>
      <c r="D55" s="82" t="s">
        <v>75</v>
      </c>
      <c r="E55" s="94"/>
      <c r="F55" s="94">
        <v>22700</v>
      </c>
      <c r="G55" s="164">
        <f>F55-E55</f>
        <v>22700</v>
      </c>
    </row>
    <row r="56" spans="1:7" x14ac:dyDescent="0.25">
      <c r="A56" s="83"/>
      <c r="B56" s="84"/>
      <c r="C56" s="85"/>
      <c r="D56" s="150" t="s">
        <v>97</v>
      </c>
      <c r="E56" s="152"/>
      <c r="F56" s="152">
        <v>22700</v>
      </c>
      <c r="G56" s="152">
        <v>22700</v>
      </c>
    </row>
    <row r="57" spans="1:7" ht="18" x14ac:dyDescent="0.25">
      <c r="A57" s="4"/>
      <c r="B57" s="4"/>
      <c r="C57" s="4"/>
      <c r="D57" s="4"/>
      <c r="E57" s="4"/>
      <c r="F57" s="155"/>
      <c r="G57" s="163"/>
    </row>
    <row r="58" spans="1:7" x14ac:dyDescent="0.25">
      <c r="A58" s="43"/>
      <c r="B58" s="44"/>
      <c r="C58" s="45"/>
      <c r="D58" s="42"/>
      <c r="E58" s="8"/>
      <c r="F58" s="8"/>
      <c r="G58" s="8"/>
    </row>
    <row r="59" spans="1:7" ht="38.25" x14ac:dyDescent="0.25">
      <c r="A59" s="213" t="s">
        <v>25</v>
      </c>
      <c r="B59" s="214"/>
      <c r="C59" s="215"/>
      <c r="D59" s="18" t="s">
        <v>26</v>
      </c>
      <c r="E59" s="19" t="s">
        <v>158</v>
      </c>
      <c r="F59" s="19" t="s">
        <v>173</v>
      </c>
      <c r="G59" s="19" t="s">
        <v>185</v>
      </c>
    </row>
    <row r="60" spans="1:7" ht="15" customHeight="1" x14ac:dyDescent="0.25">
      <c r="A60" s="210" t="s">
        <v>98</v>
      </c>
      <c r="B60" s="211"/>
      <c r="C60" s="212"/>
      <c r="D60" s="86" t="s">
        <v>32</v>
      </c>
      <c r="E60" s="8"/>
      <c r="F60" s="8"/>
      <c r="G60" s="8"/>
    </row>
    <row r="61" spans="1:7" ht="14.25" customHeight="1" x14ac:dyDescent="0.25">
      <c r="A61" s="210" t="s">
        <v>127</v>
      </c>
      <c r="B61" s="211"/>
      <c r="C61" s="212"/>
      <c r="D61" s="86" t="s">
        <v>132</v>
      </c>
      <c r="E61" s="8"/>
      <c r="F61" s="8"/>
      <c r="G61" s="8"/>
    </row>
    <row r="62" spans="1:7" ht="15" customHeight="1" x14ac:dyDescent="0.25">
      <c r="A62" s="216">
        <v>31</v>
      </c>
      <c r="B62" s="217"/>
      <c r="C62" s="218"/>
      <c r="D62" s="87" t="s">
        <v>128</v>
      </c>
      <c r="E62" s="8"/>
      <c r="F62" s="8"/>
      <c r="G62" s="8"/>
    </row>
    <row r="63" spans="1:7" x14ac:dyDescent="0.25">
      <c r="A63" s="219">
        <v>3</v>
      </c>
      <c r="B63" s="220"/>
      <c r="C63" s="221"/>
      <c r="D63" s="176" t="s">
        <v>15</v>
      </c>
      <c r="E63" s="151">
        <f t="shared" ref="E63" si="19">SUM(E73)</f>
        <v>3100</v>
      </c>
      <c r="F63" s="151">
        <f>SUM(F73+F64)</f>
        <v>1941.98</v>
      </c>
      <c r="G63" s="151">
        <f t="shared" ref="G63" si="20">SUM(G73)</f>
        <v>-1204</v>
      </c>
    </row>
    <row r="64" spans="1:7" x14ac:dyDescent="0.25">
      <c r="A64" s="222">
        <v>31</v>
      </c>
      <c r="B64" s="223"/>
      <c r="C64" s="224"/>
      <c r="D64" s="41" t="s">
        <v>16</v>
      </c>
      <c r="E64" s="92">
        <f t="shared" ref="E64:F64" si="21">SUM(E65+E69+E71)</f>
        <v>0</v>
      </c>
      <c r="F64" s="92">
        <f t="shared" si="21"/>
        <v>45.98</v>
      </c>
      <c r="G64" s="92">
        <f t="shared" ref="G64" si="22">SUM(G65+G69+G71)</f>
        <v>45.98</v>
      </c>
    </row>
    <row r="65" spans="1:7" ht="15" customHeight="1" x14ac:dyDescent="0.25">
      <c r="A65" s="37">
        <v>311</v>
      </c>
      <c r="B65" s="38"/>
      <c r="C65" s="39"/>
      <c r="D65" s="40" t="s">
        <v>40</v>
      </c>
      <c r="E65" s="93">
        <f t="shared" ref="E65:F65" si="23">SUM(E66:E68)</f>
        <v>0</v>
      </c>
      <c r="F65" s="93">
        <f t="shared" si="23"/>
        <v>39.47</v>
      </c>
      <c r="G65" s="93">
        <f t="shared" ref="G65" si="24">SUM(G66:G68)</f>
        <v>39.47</v>
      </c>
    </row>
    <row r="66" spans="1:7" x14ac:dyDescent="0.25">
      <c r="A66" s="83">
        <v>3111</v>
      </c>
      <c r="B66" s="84"/>
      <c r="C66" s="85"/>
      <c r="D66" s="82" t="s">
        <v>52</v>
      </c>
      <c r="E66" s="94">
        <v>0</v>
      </c>
      <c r="F66" s="94">
        <v>39.47</v>
      </c>
      <c r="G66" s="164">
        <f>F66-E66</f>
        <v>39.47</v>
      </c>
    </row>
    <row r="67" spans="1:7" x14ac:dyDescent="0.25">
      <c r="A67" s="83">
        <v>3113</v>
      </c>
      <c r="B67" s="84"/>
      <c r="C67" s="85"/>
      <c r="D67" s="82" t="s">
        <v>53</v>
      </c>
      <c r="E67" s="94"/>
      <c r="F67" s="94"/>
      <c r="G67" s="94"/>
    </row>
    <row r="68" spans="1:7" x14ac:dyDescent="0.25">
      <c r="A68" s="83">
        <v>3114</v>
      </c>
      <c r="B68" s="84"/>
      <c r="C68" s="85"/>
      <c r="D68" s="82" t="s">
        <v>54</v>
      </c>
      <c r="E68" s="94"/>
      <c r="F68" s="94"/>
      <c r="G68" s="94"/>
    </row>
    <row r="69" spans="1:7" x14ac:dyDescent="0.25">
      <c r="A69" s="37">
        <v>312</v>
      </c>
      <c r="B69" s="38"/>
      <c r="C69" s="39"/>
      <c r="D69" s="40" t="s">
        <v>55</v>
      </c>
      <c r="E69" s="93">
        <f t="shared" ref="E69:G69" si="25">SUM(E70)</f>
        <v>0</v>
      </c>
      <c r="F69" s="93">
        <f t="shared" si="25"/>
        <v>0</v>
      </c>
      <c r="G69" s="93">
        <f t="shared" si="25"/>
        <v>0</v>
      </c>
    </row>
    <row r="70" spans="1:7" x14ac:dyDescent="0.25">
      <c r="A70" s="83">
        <v>3121</v>
      </c>
      <c r="B70" s="84"/>
      <c r="C70" s="85"/>
      <c r="D70" s="82" t="s">
        <v>56</v>
      </c>
      <c r="E70" s="94"/>
      <c r="F70" s="94"/>
      <c r="G70" s="94"/>
    </row>
    <row r="71" spans="1:7" x14ac:dyDescent="0.25">
      <c r="A71" s="37">
        <v>313</v>
      </c>
      <c r="B71" s="38"/>
      <c r="C71" s="39"/>
      <c r="D71" s="40" t="s">
        <v>41</v>
      </c>
      <c r="E71" s="93">
        <f>SUM(E72:E72)</f>
        <v>0</v>
      </c>
      <c r="F71" s="93">
        <f>SUM(F72:F72)</f>
        <v>6.51</v>
      </c>
      <c r="G71" s="93">
        <f>SUM(G72:G72)</f>
        <v>6.51</v>
      </c>
    </row>
    <row r="72" spans="1:7" ht="25.5" x14ac:dyDescent="0.25">
      <c r="A72" s="83">
        <v>3132</v>
      </c>
      <c r="B72" s="84"/>
      <c r="C72" s="85"/>
      <c r="D72" s="82" t="s">
        <v>57</v>
      </c>
      <c r="E72" s="94"/>
      <c r="F72" s="94">
        <v>6.51</v>
      </c>
      <c r="G72" s="164">
        <f>F72-E72</f>
        <v>6.51</v>
      </c>
    </row>
    <row r="73" spans="1:7" x14ac:dyDescent="0.25">
      <c r="A73" s="222">
        <v>32</v>
      </c>
      <c r="B73" s="223"/>
      <c r="C73" s="224"/>
      <c r="D73" s="41" t="s">
        <v>27</v>
      </c>
      <c r="E73" s="92">
        <f>SUM(E74+E79+E87+E97)</f>
        <v>3100</v>
      </c>
      <c r="F73" s="92">
        <f t="shared" ref="F73" si="26">SUM(F74+F79+F87+F97)</f>
        <v>1896</v>
      </c>
      <c r="G73" s="92">
        <f t="shared" ref="G73" si="27">SUM(G74+G79+G87)</f>
        <v>-1204</v>
      </c>
    </row>
    <row r="74" spans="1:7" x14ac:dyDescent="0.25">
      <c r="A74" s="37">
        <v>321</v>
      </c>
      <c r="B74" s="38"/>
      <c r="C74" s="39"/>
      <c r="D74" s="40" t="s">
        <v>42</v>
      </c>
      <c r="E74" s="93">
        <f t="shared" ref="E74:F74" si="28">SUM(E75:E78)</f>
        <v>530</v>
      </c>
      <c r="F74" s="93">
        <f t="shared" si="28"/>
        <v>558.5</v>
      </c>
      <c r="G74" s="93">
        <f t="shared" ref="G74" si="29">SUM(G75:G78)</f>
        <v>28.5</v>
      </c>
    </row>
    <row r="75" spans="1:7" x14ac:dyDescent="0.25">
      <c r="A75" s="34">
        <v>3211</v>
      </c>
      <c r="B75" s="35"/>
      <c r="C75" s="36"/>
      <c r="D75" s="33" t="s">
        <v>58</v>
      </c>
      <c r="E75" s="94">
        <v>530</v>
      </c>
      <c r="F75" s="94">
        <v>558.5</v>
      </c>
      <c r="G75" s="164">
        <f>F75-E75</f>
        <v>28.5</v>
      </c>
    </row>
    <row r="76" spans="1:7" ht="25.5" x14ac:dyDescent="0.25">
      <c r="A76" s="34">
        <v>3212</v>
      </c>
      <c r="B76" s="35"/>
      <c r="C76" s="36"/>
      <c r="D76" s="33" t="s">
        <v>126</v>
      </c>
      <c r="E76" s="94"/>
      <c r="F76" s="94"/>
      <c r="G76" s="94"/>
    </row>
    <row r="77" spans="1:7" x14ac:dyDescent="0.25">
      <c r="A77" s="34">
        <v>3213</v>
      </c>
      <c r="B77" s="35"/>
      <c r="C77" s="36"/>
      <c r="D77" s="33" t="s">
        <v>60</v>
      </c>
      <c r="E77" s="94"/>
      <c r="F77" s="94"/>
      <c r="G77" s="94"/>
    </row>
    <row r="78" spans="1:7" ht="25.5" x14ac:dyDescent="0.25">
      <c r="A78" s="34">
        <v>3214</v>
      </c>
      <c r="B78" s="35"/>
      <c r="C78" s="36"/>
      <c r="D78" s="33" t="s">
        <v>61</v>
      </c>
      <c r="E78" s="94"/>
      <c r="F78" s="94"/>
      <c r="G78" s="94"/>
    </row>
    <row r="79" spans="1:7" x14ac:dyDescent="0.25">
      <c r="A79" s="37">
        <v>322</v>
      </c>
      <c r="B79" s="38"/>
      <c r="C79" s="39"/>
      <c r="D79" s="40" t="s">
        <v>43</v>
      </c>
      <c r="E79" s="93">
        <f t="shared" ref="E79:F79" si="30">SUM(E80:E86)</f>
        <v>670</v>
      </c>
      <c r="F79" s="93">
        <f t="shared" si="30"/>
        <v>555.11</v>
      </c>
      <c r="G79" s="93">
        <f t="shared" ref="G79" si="31">SUM(G80:G86)</f>
        <v>-114.88999999999999</v>
      </c>
    </row>
    <row r="80" spans="1:7" ht="25.5" x14ac:dyDescent="0.25">
      <c r="A80" s="34">
        <v>3221</v>
      </c>
      <c r="B80" s="35"/>
      <c r="C80" s="36"/>
      <c r="D80" s="33" t="s">
        <v>62</v>
      </c>
      <c r="E80" s="94">
        <v>670</v>
      </c>
      <c r="F80" s="94">
        <v>555.11</v>
      </c>
      <c r="G80" s="164">
        <f>F80-E80</f>
        <v>-114.88999999999999</v>
      </c>
    </row>
    <row r="81" spans="1:7" x14ac:dyDescent="0.25">
      <c r="A81" s="34">
        <v>3222</v>
      </c>
      <c r="B81" s="35"/>
      <c r="C81" s="36"/>
      <c r="D81" s="33" t="s">
        <v>63</v>
      </c>
      <c r="E81" s="94"/>
      <c r="F81" s="94"/>
      <c r="G81" s="94"/>
    </row>
    <row r="82" spans="1:7" x14ac:dyDescent="0.25">
      <c r="A82" s="34">
        <v>3223</v>
      </c>
      <c r="B82" s="35"/>
      <c r="C82" s="36"/>
      <c r="D82" s="33" t="s">
        <v>64</v>
      </c>
      <c r="E82" s="94"/>
      <c r="F82" s="94"/>
      <c r="G82" s="94"/>
    </row>
    <row r="83" spans="1:7" ht="25.5" x14ac:dyDescent="0.25">
      <c r="A83" s="34">
        <v>3224</v>
      </c>
      <c r="B83" s="35"/>
      <c r="C83" s="36"/>
      <c r="D83" s="33" t="s">
        <v>65</v>
      </c>
      <c r="E83" s="94"/>
      <c r="F83" s="94"/>
      <c r="G83" s="94"/>
    </row>
    <row r="84" spans="1:7" x14ac:dyDescent="0.25">
      <c r="A84" s="34">
        <v>3225</v>
      </c>
      <c r="B84" s="35"/>
      <c r="C84" s="36"/>
      <c r="D84" s="33" t="s">
        <v>66</v>
      </c>
      <c r="E84" s="94"/>
      <c r="F84" s="94"/>
      <c r="G84" s="94"/>
    </row>
    <row r="85" spans="1:7" ht="25.5" x14ac:dyDescent="0.25">
      <c r="A85" s="34">
        <v>3226</v>
      </c>
      <c r="B85" s="35"/>
      <c r="C85" s="36"/>
      <c r="D85" s="33" t="s">
        <v>67</v>
      </c>
      <c r="E85" s="94"/>
      <c r="F85" s="94"/>
      <c r="G85" s="94"/>
    </row>
    <row r="86" spans="1:7" ht="25.5" x14ac:dyDescent="0.25">
      <c r="A86" s="34">
        <v>3227</v>
      </c>
      <c r="B86" s="35"/>
      <c r="C86" s="36"/>
      <c r="D86" s="33" t="s">
        <v>68</v>
      </c>
      <c r="E86" s="94"/>
      <c r="F86" s="94"/>
      <c r="G86" s="94"/>
    </row>
    <row r="87" spans="1:7" x14ac:dyDescent="0.25">
      <c r="A87" s="37">
        <v>323</v>
      </c>
      <c r="B87" s="38"/>
      <c r="C87" s="39"/>
      <c r="D87" s="40" t="s">
        <v>44</v>
      </c>
      <c r="E87" s="93">
        <f t="shared" ref="E87:F87" si="32">SUM(E88:E96)</f>
        <v>1900</v>
      </c>
      <c r="F87" s="93">
        <f t="shared" si="32"/>
        <v>782.39</v>
      </c>
      <c r="G87" s="93">
        <f t="shared" ref="G87" si="33">SUM(G88:G96)</f>
        <v>-1117.6100000000001</v>
      </c>
    </row>
    <row r="88" spans="1:7" x14ac:dyDescent="0.25">
      <c r="A88" s="34">
        <v>3231</v>
      </c>
      <c r="B88" s="35"/>
      <c r="C88" s="36"/>
      <c r="D88" s="33" t="s">
        <v>69</v>
      </c>
      <c r="E88" s="94">
        <v>600</v>
      </c>
      <c r="F88" s="94">
        <v>450</v>
      </c>
      <c r="G88" s="164">
        <f>F88-E88</f>
        <v>-150</v>
      </c>
    </row>
    <row r="89" spans="1:7" ht="25.5" x14ac:dyDescent="0.25">
      <c r="A89" s="34">
        <v>3232</v>
      </c>
      <c r="B89" s="35"/>
      <c r="C89" s="36"/>
      <c r="D89" s="33" t="s">
        <v>70</v>
      </c>
      <c r="E89" s="94"/>
      <c r="F89" s="94"/>
      <c r="G89" s="94"/>
    </row>
    <row r="90" spans="1:7" x14ac:dyDescent="0.25">
      <c r="A90" s="34">
        <v>3233</v>
      </c>
      <c r="B90" s="35"/>
      <c r="C90" s="36"/>
      <c r="D90" s="33" t="s">
        <v>71</v>
      </c>
      <c r="E90" s="94"/>
      <c r="F90" s="94"/>
      <c r="G90" s="94"/>
    </row>
    <row r="91" spans="1:7" x14ac:dyDescent="0.25">
      <c r="A91" s="34">
        <v>3234</v>
      </c>
      <c r="B91" s="35"/>
      <c r="C91" s="36"/>
      <c r="D91" s="33" t="s">
        <v>72</v>
      </c>
      <c r="E91" s="94"/>
      <c r="F91" s="94">
        <v>40</v>
      </c>
      <c r="G91" s="164">
        <f>F91-E91</f>
        <v>40</v>
      </c>
    </row>
    <row r="92" spans="1:7" x14ac:dyDescent="0.25">
      <c r="A92" s="34">
        <v>3235</v>
      </c>
      <c r="B92" s="35"/>
      <c r="C92" s="36"/>
      <c r="D92" s="33" t="s">
        <v>73</v>
      </c>
      <c r="E92" s="94"/>
      <c r="F92" s="94"/>
      <c r="G92" s="94"/>
    </row>
    <row r="93" spans="1:7" x14ac:dyDescent="0.25">
      <c r="A93" s="34">
        <v>3236</v>
      </c>
      <c r="B93" s="35"/>
      <c r="C93" s="36"/>
      <c r="D93" s="33" t="s">
        <v>74</v>
      </c>
      <c r="E93" s="94">
        <v>1000</v>
      </c>
      <c r="F93" s="94"/>
      <c r="G93" s="164">
        <f>F93-E93</f>
        <v>-1000</v>
      </c>
    </row>
    <row r="94" spans="1:7" x14ac:dyDescent="0.25">
      <c r="A94" s="34">
        <v>3237</v>
      </c>
      <c r="B94" s="35"/>
      <c r="C94" s="36"/>
      <c r="D94" s="33" t="s">
        <v>75</v>
      </c>
      <c r="E94" s="94"/>
      <c r="F94" s="94"/>
      <c r="G94" s="94"/>
    </row>
    <row r="95" spans="1:7" x14ac:dyDescent="0.25">
      <c r="A95" s="34">
        <v>3238</v>
      </c>
      <c r="B95" s="35"/>
      <c r="C95" s="36"/>
      <c r="D95" s="33" t="s">
        <v>76</v>
      </c>
      <c r="E95" s="94"/>
      <c r="F95" s="94"/>
      <c r="G95" s="94"/>
    </row>
    <row r="96" spans="1:7" x14ac:dyDescent="0.25">
      <c r="A96" s="34">
        <v>3239</v>
      </c>
      <c r="B96" s="35"/>
      <c r="C96" s="36"/>
      <c r="D96" s="33" t="s">
        <v>77</v>
      </c>
      <c r="E96" s="94">
        <v>300</v>
      </c>
      <c r="F96" s="94">
        <v>292.39</v>
      </c>
      <c r="G96" s="164">
        <f>F96-E96</f>
        <v>-7.6100000000000136</v>
      </c>
    </row>
    <row r="97" spans="1:7" ht="25.5" x14ac:dyDescent="0.25">
      <c r="A97" s="37">
        <v>329</v>
      </c>
      <c r="B97" s="38"/>
      <c r="C97" s="39"/>
      <c r="D97" s="40" t="s">
        <v>79</v>
      </c>
      <c r="E97" s="93">
        <f t="shared" ref="E97:F97" si="34">SUM(E98:E104)</f>
        <v>0</v>
      </c>
      <c r="F97" s="93">
        <f t="shared" si="34"/>
        <v>0</v>
      </c>
      <c r="G97" s="93">
        <f t="shared" ref="G97" si="35">SUM(G98:G104)</f>
        <v>0</v>
      </c>
    </row>
    <row r="98" spans="1:7" ht="38.25" x14ac:dyDescent="0.25">
      <c r="A98" s="83">
        <v>3291</v>
      </c>
      <c r="B98" s="84"/>
      <c r="C98" s="85"/>
      <c r="D98" s="82" t="s">
        <v>80</v>
      </c>
      <c r="E98" s="94"/>
      <c r="F98" s="94"/>
      <c r="G98" s="94"/>
    </row>
    <row r="99" spans="1:7" x14ac:dyDescent="0.25">
      <c r="A99" s="83">
        <v>3292</v>
      </c>
      <c r="B99" s="84"/>
      <c r="C99" s="85"/>
      <c r="D99" s="82" t="s">
        <v>81</v>
      </c>
      <c r="E99" s="94"/>
      <c r="F99" s="94"/>
      <c r="G99" s="94"/>
    </row>
    <row r="100" spans="1:7" x14ac:dyDescent="0.25">
      <c r="A100" s="83">
        <v>3293</v>
      </c>
      <c r="B100" s="84"/>
      <c r="C100" s="85"/>
      <c r="D100" s="82" t="s">
        <v>82</v>
      </c>
      <c r="E100" s="94"/>
      <c r="F100" s="94"/>
      <c r="G100" s="94"/>
    </row>
    <row r="101" spans="1:7" x14ac:dyDescent="0.25">
      <c r="A101" s="83">
        <v>3294</v>
      </c>
      <c r="B101" s="84"/>
      <c r="C101" s="85"/>
      <c r="D101" s="82" t="s">
        <v>83</v>
      </c>
      <c r="E101" s="94"/>
      <c r="F101" s="94"/>
      <c r="G101" s="94"/>
    </row>
    <row r="102" spans="1:7" x14ac:dyDescent="0.25">
      <c r="A102" s="83">
        <v>3295</v>
      </c>
      <c r="B102" s="84"/>
      <c r="C102" s="85"/>
      <c r="D102" s="82" t="s">
        <v>84</v>
      </c>
      <c r="E102" s="94"/>
      <c r="F102" s="94"/>
      <c r="G102" s="94"/>
    </row>
    <row r="103" spans="1:7" x14ac:dyDescent="0.25">
      <c r="A103" s="83">
        <v>3296</v>
      </c>
      <c r="B103" s="84"/>
      <c r="C103" s="85"/>
      <c r="D103" s="82" t="s">
        <v>85</v>
      </c>
      <c r="E103" s="94"/>
      <c r="F103" s="94"/>
      <c r="G103" s="94"/>
    </row>
    <row r="104" spans="1:7" ht="25.5" x14ac:dyDescent="0.25">
      <c r="A104" s="83">
        <v>3299</v>
      </c>
      <c r="B104" s="84"/>
      <c r="C104" s="85"/>
      <c r="D104" s="82" t="s">
        <v>45</v>
      </c>
      <c r="E104" s="94"/>
      <c r="F104" s="94"/>
      <c r="G104" s="94"/>
    </row>
    <row r="105" spans="1:7" x14ac:dyDescent="0.25">
      <c r="A105" s="34"/>
      <c r="B105" s="35"/>
      <c r="C105" s="36"/>
      <c r="D105" s="33"/>
      <c r="E105" s="94"/>
      <c r="F105" s="94"/>
      <c r="G105" s="94"/>
    </row>
    <row r="106" spans="1:7" x14ac:dyDescent="0.25">
      <c r="A106" s="34"/>
      <c r="B106" s="35"/>
      <c r="C106" s="36"/>
      <c r="D106" s="150" t="s">
        <v>97</v>
      </c>
      <c r="E106" s="152">
        <f>E63</f>
        <v>3100</v>
      </c>
      <c r="F106" s="152">
        <f t="shared" ref="F106" si="36">F63</f>
        <v>1941.98</v>
      </c>
      <c r="G106" s="152">
        <f t="shared" ref="G106" si="37">G63</f>
        <v>-1204</v>
      </c>
    </row>
    <row r="107" spans="1:7" x14ac:dyDescent="0.25">
      <c r="A107" s="43"/>
      <c r="B107" s="44"/>
      <c r="C107" s="45"/>
      <c r="D107" s="42"/>
      <c r="E107" s="8"/>
      <c r="F107" s="8"/>
      <c r="G107" s="8"/>
    </row>
    <row r="108" spans="1:7" ht="38.25" x14ac:dyDescent="0.25">
      <c r="A108" s="213" t="s">
        <v>25</v>
      </c>
      <c r="B108" s="214"/>
      <c r="C108" s="215"/>
      <c r="D108" s="18" t="s">
        <v>26</v>
      </c>
      <c r="E108" s="19" t="s">
        <v>158</v>
      </c>
      <c r="F108" s="19" t="s">
        <v>173</v>
      </c>
      <c r="G108" s="19" t="s">
        <v>185</v>
      </c>
    </row>
    <row r="109" spans="1:7" ht="15" customHeight="1" x14ac:dyDescent="0.25">
      <c r="A109" s="210" t="s">
        <v>98</v>
      </c>
      <c r="B109" s="211"/>
      <c r="C109" s="212"/>
      <c r="D109" s="86" t="s">
        <v>32</v>
      </c>
      <c r="E109" s="8"/>
      <c r="F109" s="8"/>
      <c r="G109" s="8"/>
    </row>
    <row r="110" spans="1:7" ht="25.5" customHeight="1" x14ac:dyDescent="0.25">
      <c r="A110" s="210" t="s">
        <v>127</v>
      </c>
      <c r="B110" s="211"/>
      <c r="C110" s="212"/>
      <c r="D110" s="86" t="s">
        <v>132</v>
      </c>
      <c r="E110" s="8"/>
      <c r="F110" s="8"/>
      <c r="G110" s="8"/>
    </row>
    <row r="111" spans="1:7" ht="15" customHeight="1" x14ac:dyDescent="0.25">
      <c r="A111" s="216">
        <v>43</v>
      </c>
      <c r="B111" s="217"/>
      <c r="C111" s="218"/>
      <c r="D111" s="87" t="s">
        <v>37</v>
      </c>
      <c r="E111" s="8"/>
      <c r="F111" s="8"/>
      <c r="G111" s="8"/>
    </row>
    <row r="112" spans="1:7" ht="15" customHeight="1" x14ac:dyDescent="0.25">
      <c r="A112" s="219">
        <v>3</v>
      </c>
      <c r="B112" s="220"/>
      <c r="C112" s="221"/>
      <c r="D112" s="176" t="s">
        <v>15</v>
      </c>
      <c r="E112" s="151">
        <f>SUM(E113+E122+E156+E160)</f>
        <v>6965</v>
      </c>
      <c r="F112" s="151">
        <f>SUM(F113+F122+F156+F160)</f>
        <v>5796.66</v>
      </c>
      <c r="G112" s="151">
        <f>SUM(G113+G122+G156+G160)</f>
        <v>-1168.3399999999997</v>
      </c>
    </row>
    <row r="113" spans="1:7" x14ac:dyDescent="0.25">
      <c r="A113" s="222">
        <v>31</v>
      </c>
      <c r="B113" s="223"/>
      <c r="C113" s="224"/>
      <c r="D113" s="41" t="s">
        <v>16</v>
      </c>
      <c r="E113" s="92">
        <f t="shared" ref="E113:F113" si="38">SUM(E114+E118+E120)</f>
        <v>0</v>
      </c>
      <c r="F113" s="92">
        <f t="shared" si="38"/>
        <v>0</v>
      </c>
      <c r="G113" s="92">
        <f t="shared" ref="G113" si="39">SUM(G114+G118+G120)</f>
        <v>0</v>
      </c>
    </row>
    <row r="114" spans="1:7" ht="15" customHeight="1" x14ac:dyDescent="0.25">
      <c r="A114" s="37">
        <v>311</v>
      </c>
      <c r="B114" s="38"/>
      <c r="C114" s="39"/>
      <c r="D114" s="40" t="s">
        <v>40</v>
      </c>
      <c r="E114" s="93">
        <f t="shared" ref="E114:F114" si="40">SUM(E115:E117)</f>
        <v>0</v>
      </c>
      <c r="F114" s="93">
        <f t="shared" si="40"/>
        <v>0</v>
      </c>
      <c r="G114" s="93">
        <f t="shared" ref="G114" si="41">SUM(G115:G117)</f>
        <v>0</v>
      </c>
    </row>
    <row r="115" spans="1:7" x14ac:dyDescent="0.25">
      <c r="A115" s="43">
        <v>3111</v>
      </c>
      <c r="B115" s="44"/>
      <c r="C115" s="45"/>
      <c r="D115" s="42" t="s">
        <v>52</v>
      </c>
      <c r="E115" s="94">
        <v>0</v>
      </c>
      <c r="F115" s="94">
        <v>0</v>
      </c>
      <c r="G115" s="94"/>
    </row>
    <row r="116" spans="1:7" x14ac:dyDescent="0.25">
      <c r="A116" s="43">
        <v>3113</v>
      </c>
      <c r="B116" s="44"/>
      <c r="C116" s="45"/>
      <c r="D116" s="42" t="s">
        <v>53</v>
      </c>
      <c r="E116" s="94"/>
      <c r="F116" s="94"/>
      <c r="G116" s="94"/>
    </row>
    <row r="117" spans="1:7" x14ac:dyDescent="0.25">
      <c r="A117" s="43">
        <v>3114</v>
      </c>
      <c r="B117" s="44"/>
      <c r="C117" s="45"/>
      <c r="D117" s="42" t="s">
        <v>54</v>
      </c>
      <c r="E117" s="94"/>
      <c r="F117" s="94"/>
      <c r="G117" s="94"/>
    </row>
    <row r="118" spans="1:7" x14ac:dyDescent="0.25">
      <c r="A118" s="37">
        <v>312</v>
      </c>
      <c r="B118" s="38"/>
      <c r="C118" s="39"/>
      <c r="D118" s="40" t="s">
        <v>55</v>
      </c>
      <c r="E118" s="93">
        <f t="shared" ref="E118:G118" si="42">SUM(E119)</f>
        <v>0</v>
      </c>
      <c r="F118" s="93">
        <f t="shared" si="42"/>
        <v>0</v>
      </c>
      <c r="G118" s="93">
        <f t="shared" si="42"/>
        <v>0</v>
      </c>
    </row>
    <row r="119" spans="1:7" x14ac:dyDescent="0.25">
      <c r="A119" s="43">
        <v>3121</v>
      </c>
      <c r="B119" s="44"/>
      <c r="C119" s="45"/>
      <c r="D119" s="42" t="s">
        <v>56</v>
      </c>
      <c r="E119" s="94"/>
      <c r="F119" s="94"/>
      <c r="G119" s="94"/>
    </row>
    <row r="120" spans="1:7" x14ac:dyDescent="0.25">
      <c r="A120" s="37">
        <v>313</v>
      </c>
      <c r="B120" s="38"/>
      <c r="C120" s="39"/>
      <c r="D120" s="40" t="s">
        <v>41</v>
      </c>
      <c r="E120" s="93">
        <f>SUM(E121:E121)</f>
        <v>0</v>
      </c>
      <c r="F120" s="93">
        <f>SUM(F121:F121)</f>
        <v>0</v>
      </c>
      <c r="G120" s="93">
        <f>SUM(G121:G121)</f>
        <v>0</v>
      </c>
    </row>
    <row r="121" spans="1:7" ht="25.5" x14ac:dyDescent="0.25">
      <c r="A121" s="43">
        <v>3132</v>
      </c>
      <c r="B121" s="44"/>
      <c r="C121" s="45"/>
      <c r="D121" s="42" t="s">
        <v>57</v>
      </c>
      <c r="E121" s="94"/>
      <c r="F121" s="94"/>
      <c r="G121" s="94"/>
    </row>
    <row r="122" spans="1:7" x14ac:dyDescent="0.25">
      <c r="A122" s="222">
        <v>32</v>
      </c>
      <c r="B122" s="223"/>
      <c r="C122" s="224"/>
      <c r="D122" s="41" t="s">
        <v>27</v>
      </c>
      <c r="E122" s="92">
        <f t="shared" ref="E122:F122" si="43">SUM(E123+E128+E136+E146+E148)</f>
        <v>6965</v>
      </c>
      <c r="F122" s="92">
        <f t="shared" si="43"/>
        <v>5796.66</v>
      </c>
      <c r="G122" s="92">
        <f t="shared" ref="G122" si="44">SUM(G123+G128+G136+G146+G148)</f>
        <v>-1168.3399999999997</v>
      </c>
    </row>
    <row r="123" spans="1:7" x14ac:dyDescent="0.25">
      <c r="A123" s="37">
        <v>321</v>
      </c>
      <c r="B123" s="38"/>
      <c r="C123" s="39"/>
      <c r="D123" s="40" t="s">
        <v>42</v>
      </c>
      <c r="E123" s="93">
        <f t="shared" ref="E123:F123" si="45">SUM(E124:E127)</f>
        <v>530</v>
      </c>
      <c r="F123" s="93">
        <f t="shared" si="45"/>
        <v>480</v>
      </c>
      <c r="G123" s="93">
        <f t="shared" ref="G123" si="46">SUM(G124:G127)</f>
        <v>-50</v>
      </c>
    </row>
    <row r="124" spans="1:7" x14ac:dyDescent="0.25">
      <c r="A124" s="43">
        <v>3211</v>
      </c>
      <c r="B124" s="44"/>
      <c r="C124" s="45"/>
      <c r="D124" s="42" t="s">
        <v>58</v>
      </c>
      <c r="E124" s="94">
        <v>530</v>
      </c>
      <c r="F124" s="94">
        <v>480</v>
      </c>
      <c r="G124" s="164">
        <f>F124-E124</f>
        <v>-50</v>
      </c>
    </row>
    <row r="125" spans="1:7" ht="25.5" x14ac:dyDescent="0.25">
      <c r="A125" s="43">
        <v>3212</v>
      </c>
      <c r="B125" s="44"/>
      <c r="C125" s="45"/>
      <c r="D125" s="42" t="s">
        <v>59</v>
      </c>
      <c r="E125" s="94"/>
      <c r="F125" s="94"/>
      <c r="G125" s="94"/>
    </row>
    <row r="126" spans="1:7" x14ac:dyDescent="0.25">
      <c r="A126" s="43">
        <v>3213</v>
      </c>
      <c r="B126" s="44"/>
      <c r="C126" s="45"/>
      <c r="D126" s="42" t="s">
        <v>60</v>
      </c>
      <c r="E126" s="94"/>
      <c r="F126" s="94"/>
      <c r="G126" s="94"/>
    </row>
    <row r="127" spans="1:7" ht="25.5" x14ac:dyDescent="0.25">
      <c r="A127" s="43">
        <v>3214</v>
      </c>
      <c r="B127" s="44"/>
      <c r="C127" s="45"/>
      <c r="D127" s="42" t="s">
        <v>61</v>
      </c>
      <c r="E127" s="94"/>
      <c r="F127" s="94"/>
      <c r="G127" s="94"/>
    </row>
    <row r="128" spans="1:7" x14ac:dyDescent="0.25">
      <c r="A128" s="37">
        <v>322</v>
      </c>
      <c r="B128" s="38"/>
      <c r="C128" s="39"/>
      <c r="D128" s="40" t="s">
        <v>43</v>
      </c>
      <c r="E128" s="93">
        <f t="shared" ref="E128:F128" si="47">SUM(E129:E135)</f>
        <v>500</v>
      </c>
      <c r="F128" s="93">
        <f t="shared" si="47"/>
        <v>2180.86</v>
      </c>
      <c r="G128" s="93">
        <f t="shared" ref="G128" si="48">SUM(G129:G135)</f>
        <v>1680.8600000000001</v>
      </c>
    </row>
    <row r="129" spans="1:7" ht="25.5" x14ac:dyDescent="0.25">
      <c r="A129" s="43">
        <v>3221</v>
      </c>
      <c r="B129" s="44"/>
      <c r="C129" s="45"/>
      <c r="D129" s="42" t="s">
        <v>62</v>
      </c>
      <c r="E129" s="94"/>
      <c r="F129" s="94">
        <v>938.36</v>
      </c>
      <c r="G129" s="164">
        <f>F129-E129</f>
        <v>938.36</v>
      </c>
    </row>
    <row r="130" spans="1:7" x14ac:dyDescent="0.25">
      <c r="A130" s="43">
        <v>3222</v>
      </c>
      <c r="B130" s="44"/>
      <c r="C130" s="45"/>
      <c r="D130" s="42" t="s">
        <v>63</v>
      </c>
      <c r="E130" s="94"/>
      <c r="F130" s="94"/>
      <c r="G130" s="94"/>
    </row>
    <row r="131" spans="1:7" x14ac:dyDescent="0.25">
      <c r="A131" s="43">
        <v>3223</v>
      </c>
      <c r="B131" s="44"/>
      <c r="C131" s="45"/>
      <c r="D131" s="42" t="s">
        <v>64</v>
      </c>
      <c r="E131" s="94"/>
      <c r="F131" s="94"/>
      <c r="G131" s="94"/>
    </row>
    <row r="132" spans="1:7" ht="25.5" x14ac:dyDescent="0.25">
      <c r="A132" s="43">
        <v>3224</v>
      </c>
      <c r="B132" s="44"/>
      <c r="C132" s="45"/>
      <c r="D132" s="42" t="s">
        <v>65</v>
      </c>
      <c r="E132" s="94"/>
      <c r="F132" s="94"/>
      <c r="G132" s="94"/>
    </row>
    <row r="133" spans="1:7" x14ac:dyDescent="0.25">
      <c r="A133" s="43">
        <v>3225</v>
      </c>
      <c r="B133" s="44"/>
      <c r="C133" s="45"/>
      <c r="D133" s="42" t="s">
        <v>66</v>
      </c>
      <c r="E133" s="94">
        <v>500</v>
      </c>
      <c r="F133" s="94">
        <f>742.5+500</f>
        <v>1242.5</v>
      </c>
      <c r="G133" s="164">
        <f>F133-E133</f>
        <v>742.5</v>
      </c>
    </row>
    <row r="134" spans="1:7" ht="25.5" x14ac:dyDescent="0.25">
      <c r="A134" s="43">
        <v>3226</v>
      </c>
      <c r="B134" s="44"/>
      <c r="C134" s="45"/>
      <c r="D134" s="42" t="s">
        <v>67</v>
      </c>
      <c r="E134" s="94"/>
      <c r="F134" s="94"/>
      <c r="G134" s="94"/>
    </row>
    <row r="135" spans="1:7" ht="25.5" x14ac:dyDescent="0.25">
      <c r="A135" s="43">
        <v>3227</v>
      </c>
      <c r="B135" s="44"/>
      <c r="C135" s="45"/>
      <c r="D135" s="42" t="s">
        <v>68</v>
      </c>
      <c r="E135" s="94"/>
      <c r="F135" s="94"/>
      <c r="G135" s="94"/>
    </row>
    <row r="136" spans="1:7" x14ac:dyDescent="0.25">
      <c r="A136" s="37">
        <v>323</v>
      </c>
      <c r="B136" s="38"/>
      <c r="C136" s="39"/>
      <c r="D136" s="40" t="s">
        <v>44</v>
      </c>
      <c r="E136" s="93">
        <f t="shared" ref="E136:F136" si="49">SUM(E137:E145)</f>
        <v>800</v>
      </c>
      <c r="F136" s="93">
        <f t="shared" si="49"/>
        <v>1360</v>
      </c>
      <c r="G136" s="93">
        <f t="shared" ref="G136" si="50">SUM(G137:G145)</f>
        <v>560</v>
      </c>
    </row>
    <row r="137" spans="1:7" x14ac:dyDescent="0.25">
      <c r="A137" s="43">
        <v>3231</v>
      </c>
      <c r="B137" s="44"/>
      <c r="C137" s="45"/>
      <c r="D137" s="42" t="s">
        <v>69</v>
      </c>
      <c r="E137" s="94">
        <v>700</v>
      </c>
      <c r="F137" s="94">
        <v>1360</v>
      </c>
      <c r="G137" s="164">
        <f>F137-E137</f>
        <v>660</v>
      </c>
    </row>
    <row r="138" spans="1:7" ht="25.5" x14ac:dyDescent="0.25">
      <c r="A138" s="43">
        <v>3232</v>
      </c>
      <c r="B138" s="44"/>
      <c r="C138" s="45"/>
      <c r="D138" s="42" t="s">
        <v>70</v>
      </c>
      <c r="E138" s="94"/>
      <c r="F138" s="94"/>
      <c r="G138" s="94"/>
    </row>
    <row r="139" spans="1:7" x14ac:dyDescent="0.25">
      <c r="A139" s="43">
        <v>3233</v>
      </c>
      <c r="B139" s="44"/>
      <c r="C139" s="45"/>
      <c r="D139" s="42" t="s">
        <v>71</v>
      </c>
      <c r="E139" s="94"/>
      <c r="F139" s="94"/>
      <c r="G139" s="94"/>
    </row>
    <row r="140" spans="1:7" x14ac:dyDescent="0.25">
      <c r="A140" s="43">
        <v>3234</v>
      </c>
      <c r="B140" s="44"/>
      <c r="C140" s="45"/>
      <c r="D140" s="42" t="s">
        <v>72</v>
      </c>
      <c r="E140" s="94"/>
      <c r="F140" s="94"/>
      <c r="G140" s="94"/>
    </row>
    <row r="141" spans="1:7" x14ac:dyDescent="0.25">
      <c r="A141" s="43">
        <v>3235</v>
      </c>
      <c r="B141" s="44"/>
      <c r="C141" s="45"/>
      <c r="D141" s="42" t="s">
        <v>73</v>
      </c>
      <c r="E141" s="94"/>
      <c r="F141" s="94"/>
      <c r="G141" s="94"/>
    </row>
    <row r="142" spans="1:7" x14ac:dyDescent="0.25">
      <c r="A142" s="43">
        <v>3236</v>
      </c>
      <c r="B142" s="44"/>
      <c r="C142" s="45"/>
      <c r="D142" s="42" t="s">
        <v>74</v>
      </c>
      <c r="E142" s="94"/>
      <c r="F142" s="94"/>
      <c r="G142" s="94"/>
    </row>
    <row r="143" spans="1:7" x14ac:dyDescent="0.25">
      <c r="A143" s="43">
        <v>3237</v>
      </c>
      <c r="B143" s="44"/>
      <c r="C143" s="45"/>
      <c r="D143" s="42" t="s">
        <v>75</v>
      </c>
      <c r="E143" s="94"/>
      <c r="F143" s="94"/>
      <c r="G143" s="94"/>
    </row>
    <row r="144" spans="1:7" x14ac:dyDescent="0.25">
      <c r="A144" s="43">
        <v>3238</v>
      </c>
      <c r="B144" s="44"/>
      <c r="C144" s="45"/>
      <c r="D144" s="42" t="s">
        <v>76</v>
      </c>
      <c r="E144" s="94"/>
      <c r="F144" s="94"/>
      <c r="G144" s="94"/>
    </row>
    <row r="145" spans="1:7" x14ac:dyDescent="0.25">
      <c r="A145" s="43">
        <v>3239</v>
      </c>
      <c r="B145" s="44"/>
      <c r="C145" s="45"/>
      <c r="D145" s="42" t="s">
        <v>77</v>
      </c>
      <c r="E145" s="94">
        <v>100</v>
      </c>
      <c r="F145" s="94"/>
      <c r="G145" s="164">
        <f>F145-E145</f>
        <v>-100</v>
      </c>
    </row>
    <row r="146" spans="1:7" ht="25.5" x14ac:dyDescent="0.25">
      <c r="A146" s="37">
        <v>324</v>
      </c>
      <c r="B146" s="38"/>
      <c r="C146" s="39"/>
      <c r="D146" s="40" t="s">
        <v>78</v>
      </c>
      <c r="E146" s="93"/>
      <c r="F146" s="93"/>
      <c r="G146" s="93"/>
    </row>
    <row r="147" spans="1:7" ht="19.5" customHeight="1" x14ac:dyDescent="0.25">
      <c r="A147" s="56">
        <v>3241</v>
      </c>
      <c r="B147" s="57"/>
      <c r="C147" s="58"/>
      <c r="D147" s="55" t="s">
        <v>104</v>
      </c>
      <c r="E147" s="94"/>
      <c r="F147" s="94"/>
      <c r="G147" s="94"/>
    </row>
    <row r="148" spans="1:7" ht="25.5" x14ac:dyDescent="0.25">
      <c r="A148" s="37">
        <v>329</v>
      </c>
      <c r="B148" s="38"/>
      <c r="C148" s="39"/>
      <c r="D148" s="40" t="s">
        <v>79</v>
      </c>
      <c r="E148" s="93">
        <f t="shared" ref="E148:F148" si="51">SUM(E149:E155)</f>
        <v>5135</v>
      </c>
      <c r="F148" s="93">
        <f t="shared" si="51"/>
        <v>1775.8</v>
      </c>
      <c r="G148" s="93">
        <f t="shared" ref="G148" si="52">SUM(G149:G155)</f>
        <v>-3359.2</v>
      </c>
    </row>
    <row r="149" spans="1:7" ht="38.25" x14ac:dyDescent="0.25">
      <c r="A149" s="43">
        <v>3291</v>
      </c>
      <c r="B149" s="44"/>
      <c r="C149" s="45"/>
      <c r="D149" s="42" t="s">
        <v>80</v>
      </c>
      <c r="E149" s="94"/>
      <c r="F149" s="94"/>
      <c r="G149" s="94"/>
    </row>
    <row r="150" spans="1:7" x14ac:dyDescent="0.25">
      <c r="A150" s="43">
        <v>3292</v>
      </c>
      <c r="B150" s="44"/>
      <c r="C150" s="45"/>
      <c r="D150" s="42" t="s">
        <v>81</v>
      </c>
      <c r="E150" s="94"/>
      <c r="F150" s="94"/>
      <c r="G150" s="94"/>
    </row>
    <row r="151" spans="1:7" x14ac:dyDescent="0.25">
      <c r="A151" s="43">
        <v>3293</v>
      </c>
      <c r="B151" s="44"/>
      <c r="C151" s="45"/>
      <c r="D151" s="42" t="s">
        <v>82</v>
      </c>
      <c r="E151" s="94"/>
      <c r="F151" s="94"/>
      <c r="G151" s="94"/>
    </row>
    <row r="152" spans="1:7" x14ac:dyDescent="0.25">
      <c r="A152" s="43">
        <v>3294</v>
      </c>
      <c r="B152" s="44"/>
      <c r="C152" s="45"/>
      <c r="D152" s="42" t="s">
        <v>83</v>
      </c>
      <c r="E152" s="94"/>
      <c r="F152" s="94"/>
      <c r="G152" s="94"/>
    </row>
    <row r="153" spans="1:7" x14ac:dyDescent="0.25">
      <c r="A153" s="43">
        <v>3295</v>
      </c>
      <c r="B153" s="44"/>
      <c r="C153" s="45"/>
      <c r="D153" s="42" t="s">
        <v>84</v>
      </c>
      <c r="E153" s="94"/>
      <c r="F153" s="94"/>
      <c r="G153" s="94"/>
    </row>
    <row r="154" spans="1:7" x14ac:dyDescent="0.25">
      <c r="A154" s="43">
        <v>3296</v>
      </c>
      <c r="B154" s="44"/>
      <c r="C154" s="45"/>
      <c r="D154" s="42" t="s">
        <v>85</v>
      </c>
      <c r="E154" s="94"/>
      <c r="F154" s="94"/>
      <c r="G154" s="94"/>
    </row>
    <row r="155" spans="1:7" ht="25.5" x14ac:dyDescent="0.25">
      <c r="A155" s="43">
        <v>3299</v>
      </c>
      <c r="B155" s="44"/>
      <c r="C155" s="45"/>
      <c r="D155" s="42" t="s">
        <v>45</v>
      </c>
      <c r="E155" s="94">
        <v>5135</v>
      </c>
      <c r="F155" s="94">
        <v>1775.8</v>
      </c>
      <c r="G155" s="164">
        <f>F155-E155</f>
        <v>-3359.2</v>
      </c>
    </row>
    <row r="156" spans="1:7" x14ac:dyDescent="0.25">
      <c r="A156" s="46">
        <v>34</v>
      </c>
      <c r="B156" s="47"/>
      <c r="C156" s="48"/>
      <c r="D156" s="41" t="s">
        <v>46</v>
      </c>
      <c r="E156" s="92">
        <f t="shared" ref="E156:G156" si="53">SUM(E157)</f>
        <v>0</v>
      </c>
      <c r="F156" s="92">
        <f t="shared" si="53"/>
        <v>0</v>
      </c>
      <c r="G156" s="92">
        <f t="shared" si="53"/>
        <v>0</v>
      </c>
    </row>
    <row r="157" spans="1:7" x14ac:dyDescent="0.25">
      <c r="A157" s="37">
        <v>343</v>
      </c>
      <c r="B157" s="38"/>
      <c r="C157" s="39"/>
      <c r="D157" s="40" t="s">
        <v>47</v>
      </c>
      <c r="E157" s="93">
        <f t="shared" ref="E157:F157" si="54">SUM(E158:E159)</f>
        <v>0</v>
      </c>
      <c r="F157" s="93">
        <f t="shared" si="54"/>
        <v>0</v>
      </c>
      <c r="G157" s="93">
        <f t="shared" ref="G157" si="55">SUM(G158:G159)</f>
        <v>0</v>
      </c>
    </row>
    <row r="158" spans="1:7" ht="25.5" x14ac:dyDescent="0.25">
      <c r="A158" s="43">
        <v>3431</v>
      </c>
      <c r="B158" s="44"/>
      <c r="C158" s="45"/>
      <c r="D158" s="42" t="s">
        <v>86</v>
      </c>
      <c r="E158" s="94"/>
      <c r="F158" s="94"/>
      <c r="G158" s="94"/>
    </row>
    <row r="159" spans="1:7" x14ac:dyDescent="0.25">
      <c r="A159" s="43">
        <v>3433</v>
      </c>
      <c r="B159" s="44"/>
      <c r="C159" s="45"/>
      <c r="D159" s="42" t="s">
        <v>87</v>
      </c>
      <c r="E159" s="94"/>
      <c r="F159" s="94"/>
      <c r="G159" s="94"/>
    </row>
    <row r="160" spans="1:7" ht="38.25" x14ac:dyDescent="0.25">
      <c r="A160" s="46">
        <v>37</v>
      </c>
      <c r="B160" s="47"/>
      <c r="C160" s="48"/>
      <c r="D160" s="41" t="s">
        <v>48</v>
      </c>
      <c r="E160" s="92">
        <f t="shared" ref="E160:G160" si="56">SUM(E161)</f>
        <v>0</v>
      </c>
      <c r="F160" s="92">
        <f t="shared" si="56"/>
        <v>0</v>
      </c>
      <c r="G160" s="92">
        <f t="shared" si="56"/>
        <v>0</v>
      </c>
    </row>
    <row r="161" spans="1:7" ht="25.5" x14ac:dyDescent="0.25">
      <c r="A161" s="37">
        <v>372</v>
      </c>
      <c r="B161" s="38"/>
      <c r="C161" s="39"/>
      <c r="D161" s="40" t="s">
        <v>49</v>
      </c>
      <c r="E161" s="93"/>
      <c r="F161" s="93"/>
      <c r="G161" s="93"/>
    </row>
    <row r="162" spans="1:7" ht="25.5" x14ac:dyDescent="0.25">
      <c r="A162" s="43">
        <v>3721</v>
      </c>
      <c r="B162" s="44"/>
      <c r="C162" s="45"/>
      <c r="D162" s="42" t="s">
        <v>88</v>
      </c>
      <c r="E162" s="94"/>
      <c r="F162" s="94"/>
      <c r="G162" s="94"/>
    </row>
    <row r="163" spans="1:7" ht="25.5" x14ac:dyDescent="0.25">
      <c r="A163" s="43">
        <v>3722</v>
      </c>
      <c r="B163" s="44"/>
      <c r="C163" s="45"/>
      <c r="D163" s="42" t="s">
        <v>89</v>
      </c>
      <c r="E163" s="94"/>
      <c r="F163" s="94"/>
      <c r="G163" s="94"/>
    </row>
    <row r="164" spans="1:7" ht="38.25" x14ac:dyDescent="0.25">
      <c r="A164" s="179">
        <v>4</v>
      </c>
      <c r="B164" s="180"/>
      <c r="C164" s="181"/>
      <c r="D164" s="176" t="s">
        <v>38</v>
      </c>
      <c r="E164" s="151">
        <f t="shared" ref="E164:G164" si="57">SUM(E165)</f>
        <v>535</v>
      </c>
      <c r="F164" s="151">
        <f t="shared" si="57"/>
        <v>500</v>
      </c>
      <c r="G164" s="151">
        <f t="shared" si="57"/>
        <v>-35</v>
      </c>
    </row>
    <row r="165" spans="1:7" ht="38.25" x14ac:dyDescent="0.25">
      <c r="A165" s="46">
        <v>42</v>
      </c>
      <c r="B165" s="47"/>
      <c r="C165" s="48"/>
      <c r="D165" s="41" t="s">
        <v>38</v>
      </c>
      <c r="E165" s="92">
        <f t="shared" ref="E165:F165" si="58">SUM(E166+E173)</f>
        <v>535</v>
      </c>
      <c r="F165" s="92">
        <f t="shared" si="58"/>
        <v>500</v>
      </c>
      <c r="G165" s="92">
        <f t="shared" ref="G165" si="59">SUM(G166+G173)</f>
        <v>-35</v>
      </c>
    </row>
    <row r="166" spans="1:7" x14ac:dyDescent="0.25">
      <c r="A166" s="37">
        <v>422</v>
      </c>
      <c r="B166" s="38"/>
      <c r="C166" s="39"/>
      <c r="D166" s="40" t="s">
        <v>50</v>
      </c>
      <c r="E166" s="93">
        <f t="shared" ref="E166:F166" si="60">SUM(E167:E172)</f>
        <v>0</v>
      </c>
      <c r="F166" s="93">
        <f t="shared" si="60"/>
        <v>0</v>
      </c>
      <c r="G166" s="93">
        <f t="shared" ref="G166" si="61">SUM(G167:G172)</f>
        <v>0</v>
      </c>
    </row>
    <row r="167" spans="1:7" x14ac:dyDescent="0.25">
      <c r="A167" s="43">
        <v>4221</v>
      </c>
      <c r="B167" s="44"/>
      <c r="C167" s="45"/>
      <c r="D167" s="42" t="s">
        <v>90</v>
      </c>
      <c r="E167" s="94"/>
      <c r="F167" s="94"/>
      <c r="G167" s="94"/>
    </row>
    <row r="168" spans="1:7" x14ac:dyDescent="0.25">
      <c r="A168" s="43">
        <v>4222</v>
      </c>
      <c r="B168" s="44"/>
      <c r="C168" s="45"/>
      <c r="D168" s="42" t="s">
        <v>91</v>
      </c>
      <c r="E168" s="94"/>
      <c r="F168" s="94"/>
      <c r="G168" s="94"/>
    </row>
    <row r="169" spans="1:7" x14ac:dyDescent="0.25">
      <c r="A169" s="43">
        <v>4223</v>
      </c>
      <c r="B169" s="44"/>
      <c r="C169" s="45"/>
      <c r="D169" s="42" t="s">
        <v>92</v>
      </c>
      <c r="E169" s="94"/>
      <c r="F169" s="94"/>
      <c r="G169" s="94"/>
    </row>
    <row r="170" spans="1:7" x14ac:dyDescent="0.25">
      <c r="A170" s="43">
        <v>4225</v>
      </c>
      <c r="B170" s="44"/>
      <c r="C170" s="45"/>
      <c r="D170" s="42" t="s">
        <v>93</v>
      </c>
      <c r="E170" s="94"/>
      <c r="F170" s="94"/>
      <c r="G170" s="94"/>
    </row>
    <row r="171" spans="1:7" x14ac:dyDescent="0.25">
      <c r="A171" s="43">
        <v>4226</v>
      </c>
      <c r="B171" s="44"/>
      <c r="C171" s="45"/>
      <c r="D171" s="42" t="s">
        <v>94</v>
      </c>
      <c r="E171" s="94"/>
      <c r="F171" s="94"/>
      <c r="G171" s="94"/>
    </row>
    <row r="172" spans="1:7" ht="25.5" x14ac:dyDescent="0.25">
      <c r="A172" s="43">
        <v>4227</v>
      </c>
      <c r="B172" s="44"/>
      <c r="C172" s="45"/>
      <c r="D172" s="42" t="s">
        <v>95</v>
      </c>
      <c r="E172" s="94"/>
      <c r="F172" s="94"/>
      <c r="G172" s="94"/>
    </row>
    <row r="173" spans="1:7" ht="25.5" x14ac:dyDescent="0.25">
      <c r="A173" s="37">
        <v>424</v>
      </c>
      <c r="B173" s="38"/>
      <c r="C173" s="39"/>
      <c r="D173" s="40" t="s">
        <v>51</v>
      </c>
      <c r="E173" s="93">
        <f t="shared" ref="E173:G173" si="62">SUM(E174)</f>
        <v>535</v>
      </c>
      <c r="F173" s="93">
        <f t="shared" si="62"/>
        <v>500</v>
      </c>
      <c r="G173" s="93">
        <f t="shared" si="62"/>
        <v>-35</v>
      </c>
    </row>
    <row r="174" spans="1:7" x14ac:dyDescent="0.25">
      <c r="A174" s="43">
        <v>4241</v>
      </c>
      <c r="B174" s="44"/>
      <c r="C174" s="45"/>
      <c r="D174" s="42" t="s">
        <v>96</v>
      </c>
      <c r="E174" s="94">
        <v>535</v>
      </c>
      <c r="F174" s="94">
        <v>500</v>
      </c>
      <c r="G174" s="164">
        <f>F174-E174</f>
        <v>-35</v>
      </c>
    </row>
    <row r="175" spans="1:7" x14ac:dyDescent="0.25">
      <c r="A175" s="43"/>
      <c r="B175" s="44"/>
      <c r="C175" s="45"/>
      <c r="D175" s="42"/>
      <c r="E175" s="94"/>
      <c r="F175" s="94"/>
      <c r="G175" s="94"/>
    </row>
    <row r="176" spans="1:7" x14ac:dyDescent="0.25">
      <c r="A176" s="43"/>
      <c r="B176" s="44"/>
      <c r="C176" s="45"/>
      <c r="D176" s="150" t="s">
        <v>97</v>
      </c>
      <c r="E176" s="152">
        <f>SUM(E112+E164)</f>
        <v>7500</v>
      </c>
      <c r="F176" s="152">
        <f>SUM(F112+F164)</f>
        <v>6296.66</v>
      </c>
      <c r="G176" s="152">
        <f>SUM(G112+G164)</f>
        <v>-1203.3399999999997</v>
      </c>
    </row>
    <row r="177" spans="1:7" x14ac:dyDescent="0.25">
      <c r="A177" s="43"/>
      <c r="B177" s="44"/>
      <c r="C177" s="45"/>
      <c r="D177" s="42"/>
      <c r="E177" s="8"/>
      <c r="F177" s="8"/>
      <c r="G177" s="8"/>
    </row>
    <row r="178" spans="1:7" ht="38.25" x14ac:dyDescent="0.25">
      <c r="A178" s="213" t="s">
        <v>25</v>
      </c>
      <c r="B178" s="214"/>
      <c r="C178" s="215"/>
      <c r="D178" s="18" t="s">
        <v>26</v>
      </c>
      <c r="E178" s="19" t="s">
        <v>158</v>
      </c>
      <c r="F178" s="19" t="s">
        <v>173</v>
      </c>
      <c r="G178" s="19" t="s">
        <v>185</v>
      </c>
    </row>
    <row r="179" spans="1:7" ht="15" customHeight="1" x14ac:dyDescent="0.25">
      <c r="A179" s="210" t="s">
        <v>98</v>
      </c>
      <c r="B179" s="211"/>
      <c r="C179" s="212"/>
      <c r="D179" s="86" t="s">
        <v>32</v>
      </c>
      <c r="E179" s="8"/>
      <c r="F179" s="8"/>
      <c r="G179" s="8"/>
    </row>
    <row r="180" spans="1:7" ht="25.5" customHeight="1" x14ac:dyDescent="0.25">
      <c r="A180" s="210" t="s">
        <v>129</v>
      </c>
      <c r="B180" s="211"/>
      <c r="C180" s="212"/>
      <c r="D180" s="86" t="s">
        <v>131</v>
      </c>
      <c r="E180" s="8"/>
      <c r="F180" s="8"/>
      <c r="G180" s="8"/>
    </row>
    <row r="181" spans="1:7" ht="15" customHeight="1" x14ac:dyDescent="0.25">
      <c r="A181" s="216">
        <v>44</v>
      </c>
      <c r="B181" s="217"/>
      <c r="C181" s="218"/>
      <c r="D181" s="87" t="s">
        <v>130</v>
      </c>
      <c r="E181" s="8"/>
      <c r="F181" s="8"/>
      <c r="G181" s="8"/>
    </row>
    <row r="182" spans="1:7" x14ac:dyDescent="0.25">
      <c r="A182" s="219">
        <v>3</v>
      </c>
      <c r="B182" s="220"/>
      <c r="C182" s="221"/>
      <c r="D182" s="176" t="s">
        <v>15</v>
      </c>
      <c r="E182" s="151">
        <f>SUM(E183+E192+E226+E230)</f>
        <v>28000</v>
      </c>
      <c r="F182" s="151">
        <f>SUM(F183+F192+F226+F230)</f>
        <v>29952.899999999998</v>
      </c>
      <c r="G182" s="151">
        <f>SUM(G183+G192+G226+G230)</f>
        <v>1952.8999999999999</v>
      </c>
    </row>
    <row r="183" spans="1:7" x14ac:dyDescent="0.25">
      <c r="A183" s="222">
        <v>31</v>
      </c>
      <c r="B183" s="223"/>
      <c r="C183" s="224"/>
      <c r="D183" s="41" t="s">
        <v>16</v>
      </c>
      <c r="E183" s="92">
        <f t="shared" ref="E183:F183" si="63">SUM(E184+E188+E190)</f>
        <v>0</v>
      </c>
      <c r="F183" s="92">
        <f t="shared" si="63"/>
        <v>0</v>
      </c>
      <c r="G183" s="92">
        <f t="shared" ref="G183" si="64">SUM(G184+G188+G190)</f>
        <v>0</v>
      </c>
    </row>
    <row r="184" spans="1:7" ht="15" customHeight="1" x14ac:dyDescent="0.25">
      <c r="A184" s="37">
        <v>311</v>
      </c>
      <c r="B184" s="38"/>
      <c r="C184" s="39"/>
      <c r="D184" s="40" t="s">
        <v>40</v>
      </c>
      <c r="E184" s="93">
        <f t="shared" ref="E184:F184" si="65">SUM(E185:E187)</f>
        <v>0</v>
      </c>
      <c r="F184" s="93">
        <f t="shared" si="65"/>
        <v>0</v>
      </c>
      <c r="G184" s="93">
        <f t="shared" ref="G184" si="66">SUM(G185:G187)</f>
        <v>0</v>
      </c>
    </row>
    <row r="185" spans="1:7" x14ac:dyDescent="0.25">
      <c r="A185" s="83">
        <v>3111</v>
      </c>
      <c r="B185" s="84"/>
      <c r="C185" s="85"/>
      <c r="D185" s="82" t="s">
        <v>52</v>
      </c>
      <c r="E185" s="94">
        <v>0</v>
      </c>
      <c r="F185" s="94">
        <v>0</v>
      </c>
      <c r="G185" s="94"/>
    </row>
    <row r="186" spans="1:7" x14ac:dyDescent="0.25">
      <c r="A186" s="83">
        <v>3113</v>
      </c>
      <c r="B186" s="84"/>
      <c r="C186" s="85"/>
      <c r="D186" s="82" t="s">
        <v>53</v>
      </c>
      <c r="E186" s="94"/>
      <c r="F186" s="94"/>
      <c r="G186" s="94"/>
    </row>
    <row r="187" spans="1:7" x14ac:dyDescent="0.25">
      <c r="A187" s="83">
        <v>3114</v>
      </c>
      <c r="B187" s="84"/>
      <c r="C187" s="85"/>
      <c r="D187" s="82" t="s">
        <v>54</v>
      </c>
      <c r="E187" s="94"/>
      <c r="F187" s="94"/>
      <c r="G187" s="94"/>
    </row>
    <row r="188" spans="1:7" x14ac:dyDescent="0.25">
      <c r="A188" s="37">
        <v>312</v>
      </c>
      <c r="B188" s="38"/>
      <c r="C188" s="39"/>
      <c r="D188" s="40" t="s">
        <v>55</v>
      </c>
      <c r="E188" s="93">
        <f t="shared" ref="E188:G188" si="67">SUM(E189)</f>
        <v>0</v>
      </c>
      <c r="F188" s="93">
        <f t="shared" si="67"/>
        <v>0</v>
      </c>
      <c r="G188" s="93">
        <f t="shared" si="67"/>
        <v>0</v>
      </c>
    </row>
    <row r="189" spans="1:7" x14ac:dyDescent="0.25">
      <c r="A189" s="83">
        <v>3121</v>
      </c>
      <c r="B189" s="84"/>
      <c r="C189" s="85"/>
      <c r="D189" s="82" t="s">
        <v>56</v>
      </c>
      <c r="E189" s="94"/>
      <c r="F189" s="94"/>
      <c r="G189" s="94"/>
    </row>
    <row r="190" spans="1:7" x14ac:dyDescent="0.25">
      <c r="A190" s="37">
        <v>313</v>
      </c>
      <c r="B190" s="38"/>
      <c r="C190" s="39"/>
      <c r="D190" s="40" t="s">
        <v>41</v>
      </c>
      <c r="E190" s="93">
        <f>SUM(E191:E191)</f>
        <v>0</v>
      </c>
      <c r="F190" s="93">
        <f>SUM(F191:F191)</f>
        <v>0</v>
      </c>
      <c r="G190" s="93">
        <f>SUM(G191:G191)</f>
        <v>0</v>
      </c>
    </row>
    <row r="191" spans="1:7" ht="25.5" x14ac:dyDescent="0.25">
      <c r="A191" s="83">
        <v>3132</v>
      </c>
      <c r="B191" s="84"/>
      <c r="C191" s="85"/>
      <c r="D191" s="82" t="s">
        <v>57</v>
      </c>
      <c r="E191" s="94"/>
      <c r="F191" s="94"/>
      <c r="G191" s="94"/>
    </row>
    <row r="192" spans="1:7" x14ac:dyDescent="0.25">
      <c r="A192" s="222">
        <v>32</v>
      </c>
      <c r="B192" s="223"/>
      <c r="C192" s="224"/>
      <c r="D192" s="41" t="s">
        <v>27</v>
      </c>
      <c r="E192" s="92">
        <f>SUM(E193+E198+E206+E216+E218)</f>
        <v>27480</v>
      </c>
      <c r="F192" s="92">
        <f t="shared" ref="F192" si="68">SUM(F193+F198+F206+F216+F218)</f>
        <v>29432.899999999998</v>
      </c>
      <c r="G192" s="92">
        <f t="shared" ref="G192" si="69">SUM(G193+G198+G206+G216+G218)</f>
        <v>1952.8999999999999</v>
      </c>
    </row>
    <row r="193" spans="1:7" x14ac:dyDescent="0.25">
      <c r="A193" s="37">
        <v>321</v>
      </c>
      <c r="B193" s="38"/>
      <c r="C193" s="39"/>
      <c r="D193" s="40" t="s">
        <v>42</v>
      </c>
      <c r="E193" s="93">
        <f t="shared" ref="E193:F193" si="70">SUM(E194:E197)</f>
        <v>2365</v>
      </c>
      <c r="F193" s="93">
        <f t="shared" si="70"/>
        <v>3334.04</v>
      </c>
      <c r="G193" s="93">
        <f t="shared" ref="G193" si="71">SUM(G194:G197)</f>
        <v>969.04</v>
      </c>
    </row>
    <row r="194" spans="1:7" x14ac:dyDescent="0.25">
      <c r="A194" s="83">
        <v>3211</v>
      </c>
      <c r="B194" s="84"/>
      <c r="C194" s="85"/>
      <c r="D194" s="82" t="s">
        <v>58</v>
      </c>
      <c r="E194" s="94">
        <f>2000-530-530</f>
        <v>940</v>
      </c>
      <c r="F194" s="94">
        <v>1432.54</v>
      </c>
      <c r="G194" s="164">
        <f>F194-E194</f>
        <v>492.53999999999996</v>
      </c>
    </row>
    <row r="195" spans="1:7" ht="25.5" x14ac:dyDescent="0.25">
      <c r="A195" s="83">
        <v>3212</v>
      </c>
      <c r="B195" s="84"/>
      <c r="C195" s="85"/>
      <c r="D195" s="82" t="s">
        <v>59</v>
      </c>
      <c r="E195" s="94"/>
      <c r="F195" s="94"/>
      <c r="G195" s="94"/>
    </row>
    <row r="196" spans="1:7" x14ac:dyDescent="0.25">
      <c r="A196" s="83">
        <v>3213</v>
      </c>
      <c r="B196" s="84"/>
      <c r="C196" s="85"/>
      <c r="D196" s="82" t="s">
        <v>60</v>
      </c>
      <c r="E196" s="94">
        <v>225</v>
      </c>
      <c r="F196" s="94">
        <f>326.5+75</f>
        <v>401.5</v>
      </c>
      <c r="G196" s="164">
        <f t="shared" ref="G196:G197" si="72">F196-E196</f>
        <v>176.5</v>
      </c>
    </row>
    <row r="197" spans="1:7" ht="25.5" x14ac:dyDescent="0.25">
      <c r="A197" s="83">
        <v>3214</v>
      </c>
      <c r="B197" s="84"/>
      <c r="C197" s="85"/>
      <c r="D197" s="82" t="s">
        <v>61</v>
      </c>
      <c r="E197" s="94">
        <v>1200</v>
      </c>
      <c r="F197" s="94">
        <v>1500</v>
      </c>
      <c r="G197" s="164">
        <f t="shared" si="72"/>
        <v>300</v>
      </c>
    </row>
    <row r="198" spans="1:7" x14ac:dyDescent="0.25">
      <c r="A198" s="37">
        <v>322</v>
      </c>
      <c r="B198" s="38"/>
      <c r="C198" s="39"/>
      <c r="D198" s="40" t="s">
        <v>43</v>
      </c>
      <c r="E198" s="93">
        <f t="shared" ref="E198:F198" si="73">SUM(E199:E205)</f>
        <v>13373</v>
      </c>
      <c r="F198" s="93">
        <f t="shared" si="73"/>
        <v>13824.140000000001</v>
      </c>
      <c r="G198" s="93">
        <f t="shared" ref="G198" si="74">SUM(G199:G205)</f>
        <v>451.14000000000004</v>
      </c>
    </row>
    <row r="199" spans="1:7" ht="25.5" x14ac:dyDescent="0.25">
      <c r="A199" s="83">
        <v>3221</v>
      </c>
      <c r="B199" s="84"/>
      <c r="C199" s="85"/>
      <c r="D199" s="82" t="s">
        <v>62</v>
      </c>
      <c r="E199" s="94">
        <f>4775-670</f>
        <v>4105</v>
      </c>
      <c r="F199" s="94">
        <v>3800</v>
      </c>
      <c r="G199" s="164">
        <f t="shared" ref="G199:G205" si="75">F199-E199</f>
        <v>-305</v>
      </c>
    </row>
    <row r="200" spans="1:7" x14ac:dyDescent="0.25">
      <c r="A200" s="83">
        <v>3222</v>
      </c>
      <c r="B200" s="84"/>
      <c r="C200" s="85"/>
      <c r="D200" s="82" t="s">
        <v>63</v>
      </c>
      <c r="E200" s="94"/>
      <c r="F200" s="94"/>
      <c r="G200" s="164">
        <f t="shared" si="75"/>
        <v>0</v>
      </c>
    </row>
    <row r="201" spans="1:7" x14ac:dyDescent="0.25">
      <c r="A201" s="83">
        <v>3223</v>
      </c>
      <c r="B201" s="84"/>
      <c r="C201" s="85"/>
      <c r="D201" s="82" t="s">
        <v>64</v>
      </c>
      <c r="E201" s="94">
        <v>7500</v>
      </c>
      <c r="F201" s="94">
        <v>7500</v>
      </c>
      <c r="G201" s="164">
        <f t="shared" si="75"/>
        <v>0</v>
      </c>
    </row>
    <row r="202" spans="1:7" ht="25.5" x14ac:dyDescent="0.25">
      <c r="A202" s="83">
        <v>3224</v>
      </c>
      <c r="B202" s="84"/>
      <c r="C202" s="85"/>
      <c r="D202" s="82" t="s">
        <v>65</v>
      </c>
      <c r="E202" s="94">
        <v>1500</v>
      </c>
      <c r="F202" s="94">
        <v>2000</v>
      </c>
      <c r="G202" s="164">
        <f t="shared" si="75"/>
        <v>500</v>
      </c>
    </row>
    <row r="203" spans="1:7" x14ac:dyDescent="0.25">
      <c r="A203" s="83">
        <v>3225</v>
      </c>
      <c r="B203" s="84"/>
      <c r="C203" s="85"/>
      <c r="D203" s="82" t="s">
        <v>66</v>
      </c>
      <c r="E203" s="94">
        <f>1906-1292-500</f>
        <v>114</v>
      </c>
      <c r="F203" s="94">
        <v>478.69</v>
      </c>
      <c r="G203" s="164">
        <f t="shared" si="75"/>
        <v>364.69</v>
      </c>
    </row>
    <row r="204" spans="1:7" ht="25.5" x14ac:dyDescent="0.25">
      <c r="A204" s="83">
        <v>3226</v>
      </c>
      <c r="B204" s="84"/>
      <c r="C204" s="85"/>
      <c r="D204" s="82" t="s">
        <v>67</v>
      </c>
      <c r="E204" s="94"/>
      <c r="F204" s="94"/>
      <c r="G204" s="164">
        <f t="shared" si="75"/>
        <v>0</v>
      </c>
    </row>
    <row r="205" spans="1:7" ht="25.5" x14ac:dyDescent="0.25">
      <c r="A205" s="83">
        <v>3227</v>
      </c>
      <c r="B205" s="84"/>
      <c r="C205" s="85"/>
      <c r="D205" s="82" t="s">
        <v>68</v>
      </c>
      <c r="E205" s="94">
        <v>154</v>
      </c>
      <c r="F205" s="94">
        <v>45.45</v>
      </c>
      <c r="G205" s="164">
        <f t="shared" si="75"/>
        <v>-108.55</v>
      </c>
    </row>
    <row r="206" spans="1:7" x14ac:dyDescent="0.25">
      <c r="A206" s="37">
        <v>323</v>
      </c>
      <c r="B206" s="38"/>
      <c r="C206" s="39"/>
      <c r="D206" s="40" t="s">
        <v>44</v>
      </c>
      <c r="E206" s="93">
        <f t="shared" ref="E206:F206" si="76">SUM(E207:E215)</f>
        <v>11187</v>
      </c>
      <c r="F206" s="93">
        <f t="shared" si="76"/>
        <v>11589.85</v>
      </c>
      <c r="G206" s="93">
        <f t="shared" ref="G206" si="77">SUM(G207:G215)</f>
        <v>402.84999999999991</v>
      </c>
    </row>
    <row r="207" spans="1:7" x14ac:dyDescent="0.25">
      <c r="A207" s="83">
        <v>3231</v>
      </c>
      <c r="B207" s="84"/>
      <c r="C207" s="85"/>
      <c r="D207" s="82" t="s">
        <v>69</v>
      </c>
      <c r="E207" s="94">
        <f>3700-1300</f>
        <v>2400</v>
      </c>
      <c r="F207" s="94">
        <v>2000</v>
      </c>
      <c r="G207" s="164">
        <f t="shared" ref="G207:G215" si="78">F207-E207</f>
        <v>-400</v>
      </c>
    </row>
    <row r="208" spans="1:7" ht="25.5" x14ac:dyDescent="0.25">
      <c r="A208" s="83">
        <v>3232</v>
      </c>
      <c r="B208" s="84"/>
      <c r="C208" s="85"/>
      <c r="D208" s="82" t="s">
        <v>70</v>
      </c>
      <c r="E208" s="94">
        <v>2180</v>
      </c>
      <c r="F208" s="94">
        <f>8500-6588.75</f>
        <v>1911.25</v>
      </c>
      <c r="G208" s="164">
        <f t="shared" si="78"/>
        <v>-268.75</v>
      </c>
    </row>
    <row r="209" spans="1:7" x14ac:dyDescent="0.25">
      <c r="A209" s="83">
        <v>3233</v>
      </c>
      <c r="B209" s="84"/>
      <c r="C209" s="85"/>
      <c r="D209" s="82" t="s">
        <v>71</v>
      </c>
      <c r="E209" s="94">
        <v>128</v>
      </c>
      <c r="F209" s="94">
        <v>305</v>
      </c>
      <c r="G209" s="164">
        <f t="shared" si="78"/>
        <v>177</v>
      </c>
    </row>
    <row r="210" spans="1:7" x14ac:dyDescent="0.25">
      <c r="A210" s="83">
        <v>3234</v>
      </c>
      <c r="B210" s="84"/>
      <c r="C210" s="85"/>
      <c r="D210" s="82" t="s">
        <v>72</v>
      </c>
      <c r="E210" s="94">
        <v>2700</v>
      </c>
      <c r="F210" s="94">
        <v>3500</v>
      </c>
      <c r="G210" s="164">
        <f t="shared" si="78"/>
        <v>800</v>
      </c>
    </row>
    <row r="211" spans="1:7" x14ac:dyDescent="0.25">
      <c r="A211" s="83">
        <v>3235</v>
      </c>
      <c r="B211" s="84"/>
      <c r="C211" s="85"/>
      <c r="D211" s="82" t="s">
        <v>73</v>
      </c>
      <c r="E211" s="94"/>
      <c r="F211" s="94">
        <f t="shared" ref="F211" si="79">E211*2.7%+E211</f>
        <v>0</v>
      </c>
      <c r="G211" s="164">
        <f t="shared" si="78"/>
        <v>0</v>
      </c>
    </row>
    <row r="212" spans="1:7" x14ac:dyDescent="0.25">
      <c r="A212" s="83">
        <v>3236</v>
      </c>
      <c r="B212" s="84"/>
      <c r="C212" s="85"/>
      <c r="D212" s="82" t="s">
        <v>74</v>
      </c>
      <c r="E212" s="94">
        <f>2727-1000</f>
        <v>1727</v>
      </c>
      <c r="F212" s="94">
        <v>674.75</v>
      </c>
      <c r="G212" s="164">
        <f t="shared" si="78"/>
        <v>-1052.25</v>
      </c>
    </row>
    <row r="213" spans="1:7" x14ac:dyDescent="0.25">
      <c r="A213" s="83">
        <v>3237</v>
      </c>
      <c r="B213" s="84"/>
      <c r="C213" s="85"/>
      <c r="D213" s="82" t="s">
        <v>75</v>
      </c>
      <c r="E213" s="94"/>
      <c r="F213" s="94">
        <v>325</v>
      </c>
      <c r="G213" s="164">
        <f t="shared" si="78"/>
        <v>325</v>
      </c>
    </row>
    <row r="214" spans="1:7" x14ac:dyDescent="0.25">
      <c r="A214" s="83">
        <v>3238</v>
      </c>
      <c r="B214" s="84"/>
      <c r="C214" s="85"/>
      <c r="D214" s="82" t="s">
        <v>76</v>
      </c>
      <c r="E214" s="94">
        <v>1120</v>
      </c>
      <c r="F214" s="94">
        <v>1116</v>
      </c>
      <c r="G214" s="164">
        <f t="shared" si="78"/>
        <v>-4</v>
      </c>
    </row>
    <row r="215" spans="1:7" x14ac:dyDescent="0.25">
      <c r="A215" s="83">
        <v>3239</v>
      </c>
      <c r="B215" s="84"/>
      <c r="C215" s="85"/>
      <c r="D215" s="82" t="s">
        <v>77</v>
      </c>
      <c r="E215" s="94">
        <f>1332-300-100</f>
        <v>932</v>
      </c>
      <c r="F215" s="94">
        <f>2820.35-1062.5</f>
        <v>1757.85</v>
      </c>
      <c r="G215" s="164">
        <f t="shared" si="78"/>
        <v>825.84999999999991</v>
      </c>
    </row>
    <row r="216" spans="1:7" ht="25.5" x14ac:dyDescent="0.25">
      <c r="A216" s="37">
        <v>324</v>
      </c>
      <c r="B216" s="38"/>
      <c r="C216" s="39"/>
      <c r="D216" s="40" t="s">
        <v>78</v>
      </c>
      <c r="E216" s="93"/>
      <c r="F216" s="93"/>
      <c r="G216" s="93"/>
    </row>
    <row r="217" spans="1:7" ht="25.5" x14ac:dyDescent="0.25">
      <c r="A217" s="83">
        <v>3241</v>
      </c>
      <c r="B217" s="84"/>
      <c r="C217" s="85"/>
      <c r="D217" s="82" t="s">
        <v>104</v>
      </c>
      <c r="E217" s="94"/>
      <c r="F217" s="94"/>
      <c r="G217" s="94"/>
    </row>
    <row r="218" spans="1:7" ht="25.5" x14ac:dyDescent="0.25">
      <c r="A218" s="37">
        <v>329</v>
      </c>
      <c r="B218" s="38"/>
      <c r="C218" s="39"/>
      <c r="D218" s="40" t="s">
        <v>79</v>
      </c>
      <c r="E218" s="93">
        <f t="shared" ref="E218:F218" si="80">SUM(E219:E225)</f>
        <v>555</v>
      </c>
      <c r="F218" s="93">
        <f t="shared" si="80"/>
        <v>684.87</v>
      </c>
      <c r="G218" s="93">
        <f t="shared" ref="G218" si="81">SUM(G219:G225)</f>
        <v>129.86999999999998</v>
      </c>
    </row>
    <row r="219" spans="1:7" ht="38.25" x14ac:dyDescent="0.25">
      <c r="A219" s="83">
        <v>3291</v>
      </c>
      <c r="B219" s="84"/>
      <c r="C219" s="85"/>
      <c r="D219" s="82" t="s">
        <v>80</v>
      </c>
      <c r="E219" s="94"/>
      <c r="F219" s="94"/>
      <c r="G219" s="94"/>
    </row>
    <row r="220" spans="1:7" x14ac:dyDescent="0.25">
      <c r="A220" s="83">
        <v>3292</v>
      </c>
      <c r="B220" s="84"/>
      <c r="C220" s="85"/>
      <c r="D220" s="82" t="s">
        <v>81</v>
      </c>
      <c r="E220" s="94"/>
      <c r="F220" s="94"/>
      <c r="G220" s="94"/>
    </row>
    <row r="221" spans="1:7" x14ac:dyDescent="0.25">
      <c r="A221" s="83">
        <v>3293</v>
      </c>
      <c r="B221" s="84"/>
      <c r="C221" s="85"/>
      <c r="D221" s="82" t="s">
        <v>82</v>
      </c>
      <c r="E221" s="94"/>
      <c r="F221" s="94"/>
      <c r="G221" s="94"/>
    </row>
    <row r="222" spans="1:7" x14ac:dyDescent="0.25">
      <c r="A222" s="83">
        <v>3294</v>
      </c>
      <c r="B222" s="84"/>
      <c r="C222" s="85"/>
      <c r="D222" s="82" t="s">
        <v>83</v>
      </c>
      <c r="E222" s="94">
        <v>190</v>
      </c>
      <c r="F222" s="94">
        <v>190</v>
      </c>
      <c r="G222" s="164">
        <f t="shared" ref="G222:G223" si="82">F222-E222</f>
        <v>0</v>
      </c>
    </row>
    <row r="223" spans="1:7" x14ac:dyDescent="0.25">
      <c r="A223" s="83">
        <v>3295</v>
      </c>
      <c r="B223" s="84"/>
      <c r="C223" s="85"/>
      <c r="D223" s="82" t="s">
        <v>84</v>
      </c>
      <c r="E223" s="94"/>
      <c r="F223" s="94">
        <v>74.34</v>
      </c>
      <c r="G223" s="164">
        <f t="shared" si="82"/>
        <v>74.34</v>
      </c>
    </row>
    <row r="224" spans="1:7" x14ac:dyDescent="0.25">
      <c r="A224" s="83">
        <v>3296</v>
      </c>
      <c r="B224" s="84"/>
      <c r="C224" s="85"/>
      <c r="D224" s="82" t="s">
        <v>85</v>
      </c>
      <c r="E224" s="94"/>
      <c r="F224" s="94"/>
      <c r="G224" s="94"/>
    </row>
    <row r="225" spans="1:7" ht="25.5" x14ac:dyDescent="0.25">
      <c r="A225" s="83">
        <v>3299</v>
      </c>
      <c r="B225" s="84"/>
      <c r="C225" s="85"/>
      <c r="D225" s="82" t="s">
        <v>45</v>
      </c>
      <c r="E225" s="94">
        <f>5500-5135</f>
        <v>365</v>
      </c>
      <c r="F225" s="94">
        <v>420.53</v>
      </c>
      <c r="G225" s="164">
        <f>F225-E225</f>
        <v>55.529999999999973</v>
      </c>
    </row>
    <row r="226" spans="1:7" x14ac:dyDescent="0.25">
      <c r="A226" s="88">
        <v>34</v>
      </c>
      <c r="B226" s="89"/>
      <c r="C226" s="90"/>
      <c r="D226" s="41" t="s">
        <v>46</v>
      </c>
      <c r="E226" s="92">
        <f t="shared" ref="E226:G226" si="83">SUM(E227)</f>
        <v>520</v>
      </c>
      <c r="F226" s="92">
        <f t="shared" si="83"/>
        <v>520</v>
      </c>
      <c r="G226" s="92">
        <f t="shared" si="83"/>
        <v>0</v>
      </c>
    </row>
    <row r="227" spans="1:7" x14ac:dyDescent="0.25">
      <c r="A227" s="37">
        <v>343</v>
      </c>
      <c r="B227" s="38"/>
      <c r="C227" s="39"/>
      <c r="D227" s="40" t="s">
        <v>47</v>
      </c>
      <c r="E227" s="93">
        <f t="shared" ref="E227:F227" si="84">SUM(E228:E229)</f>
        <v>520</v>
      </c>
      <c r="F227" s="93">
        <f t="shared" si="84"/>
        <v>520</v>
      </c>
      <c r="G227" s="93">
        <f t="shared" ref="G227" si="85">SUM(G228:G229)</f>
        <v>0</v>
      </c>
    </row>
    <row r="228" spans="1:7" ht="25.5" x14ac:dyDescent="0.25">
      <c r="A228" s="83">
        <v>3431</v>
      </c>
      <c r="B228" s="84"/>
      <c r="C228" s="85"/>
      <c r="D228" s="82" t="s">
        <v>86</v>
      </c>
      <c r="E228" s="94">
        <v>520</v>
      </c>
      <c r="F228" s="94">
        <v>520</v>
      </c>
      <c r="G228" s="164">
        <f>F228-E228</f>
        <v>0</v>
      </c>
    </row>
    <row r="229" spans="1:7" x14ac:dyDescent="0.25">
      <c r="A229" s="83">
        <v>3433</v>
      </c>
      <c r="B229" s="84"/>
      <c r="C229" s="85"/>
      <c r="D229" s="82" t="s">
        <v>87</v>
      </c>
      <c r="E229" s="94"/>
      <c r="F229" s="94"/>
      <c r="G229" s="94"/>
    </row>
    <row r="230" spans="1:7" ht="38.25" x14ac:dyDescent="0.25">
      <c r="A230" s="88">
        <v>37</v>
      </c>
      <c r="B230" s="89"/>
      <c r="C230" s="90"/>
      <c r="D230" s="41" t="s">
        <v>48</v>
      </c>
      <c r="E230" s="92">
        <f t="shared" ref="E230:G230" si="86">SUM(E231)</f>
        <v>0</v>
      </c>
      <c r="F230" s="92">
        <f t="shared" si="86"/>
        <v>0</v>
      </c>
      <c r="G230" s="92">
        <f t="shared" si="86"/>
        <v>0</v>
      </c>
    </row>
    <row r="231" spans="1:7" ht="25.5" x14ac:dyDescent="0.25">
      <c r="A231" s="37">
        <v>372</v>
      </c>
      <c r="B231" s="38"/>
      <c r="C231" s="39"/>
      <c r="D231" s="40" t="s">
        <v>49</v>
      </c>
      <c r="E231" s="93"/>
      <c r="F231" s="93"/>
      <c r="G231" s="93"/>
    </row>
    <row r="232" spans="1:7" ht="25.5" x14ac:dyDescent="0.25">
      <c r="A232" s="83">
        <v>3721</v>
      </c>
      <c r="B232" s="84"/>
      <c r="C232" s="85"/>
      <c r="D232" s="82" t="s">
        <v>88</v>
      </c>
      <c r="E232" s="94"/>
      <c r="F232" s="94"/>
      <c r="G232" s="94"/>
    </row>
    <row r="233" spans="1:7" ht="25.5" x14ac:dyDescent="0.25">
      <c r="A233" s="83">
        <v>3722</v>
      </c>
      <c r="B233" s="84"/>
      <c r="C233" s="85"/>
      <c r="D233" s="82" t="s">
        <v>89</v>
      </c>
      <c r="E233" s="94"/>
      <c r="F233" s="94"/>
      <c r="G233" s="94"/>
    </row>
    <row r="234" spans="1:7" x14ac:dyDescent="0.25">
      <c r="A234" s="83"/>
      <c r="B234" s="84"/>
      <c r="C234" s="85"/>
      <c r="D234" s="150" t="s">
        <v>97</v>
      </c>
      <c r="E234" s="152">
        <f>E182</f>
        <v>28000</v>
      </c>
      <c r="F234" s="152">
        <f>F182</f>
        <v>29952.899999999998</v>
      </c>
      <c r="G234" s="152">
        <f>F234-E234</f>
        <v>1952.8999999999978</v>
      </c>
    </row>
    <row r="235" spans="1:7" x14ac:dyDescent="0.25">
      <c r="A235" s="83"/>
      <c r="B235" s="84"/>
      <c r="C235" s="85"/>
      <c r="D235" s="82"/>
      <c r="E235" s="94"/>
      <c r="F235" s="94"/>
      <c r="G235" s="94"/>
    </row>
    <row r="236" spans="1:7" ht="38.25" x14ac:dyDescent="0.25">
      <c r="A236" s="213" t="s">
        <v>25</v>
      </c>
      <c r="B236" s="214"/>
      <c r="C236" s="215"/>
      <c r="D236" s="18" t="s">
        <v>26</v>
      </c>
      <c r="E236" s="19" t="s">
        <v>158</v>
      </c>
      <c r="F236" s="19" t="s">
        <v>173</v>
      </c>
      <c r="G236" s="19" t="s">
        <v>185</v>
      </c>
    </row>
    <row r="237" spans="1:7" ht="15" customHeight="1" x14ac:dyDescent="0.25">
      <c r="A237" s="210" t="s">
        <v>98</v>
      </c>
      <c r="B237" s="211"/>
      <c r="C237" s="212"/>
      <c r="D237" s="177" t="s">
        <v>32</v>
      </c>
      <c r="E237" s="8"/>
      <c r="F237" s="8"/>
      <c r="G237" s="8"/>
    </row>
    <row r="238" spans="1:7" ht="16.5" customHeight="1" x14ac:dyDescent="0.25">
      <c r="A238" s="210" t="s">
        <v>191</v>
      </c>
      <c r="B238" s="211"/>
      <c r="C238" s="212"/>
      <c r="D238" s="177" t="s">
        <v>188</v>
      </c>
      <c r="E238" s="8"/>
      <c r="F238" s="8"/>
      <c r="G238" s="8"/>
    </row>
    <row r="239" spans="1:7" ht="16.5" customHeight="1" x14ac:dyDescent="0.25">
      <c r="A239" s="216">
        <v>44</v>
      </c>
      <c r="B239" s="217"/>
      <c r="C239" s="218"/>
      <c r="D239" s="178" t="s">
        <v>130</v>
      </c>
      <c r="E239" s="8"/>
      <c r="F239" s="8"/>
      <c r="G239" s="8"/>
    </row>
    <row r="240" spans="1:7" ht="38.25" x14ac:dyDescent="0.25">
      <c r="A240" s="179">
        <v>4</v>
      </c>
      <c r="B240" s="180"/>
      <c r="C240" s="181"/>
      <c r="D240" s="176" t="s">
        <v>38</v>
      </c>
      <c r="E240" s="151">
        <f t="shared" ref="E240:G240" si="87">SUM(E241)</f>
        <v>0</v>
      </c>
      <c r="F240" s="151">
        <f>SUM(F241)</f>
        <v>11200</v>
      </c>
      <c r="G240" s="151">
        <f t="shared" si="87"/>
        <v>11200</v>
      </c>
    </row>
    <row r="241" spans="1:7" ht="38.25" x14ac:dyDescent="0.25">
      <c r="A241" s="143">
        <v>42</v>
      </c>
      <c r="B241" s="144"/>
      <c r="C241" s="145"/>
      <c r="D241" s="41" t="s">
        <v>38</v>
      </c>
      <c r="E241" s="92"/>
      <c r="F241" s="92">
        <f>F242</f>
        <v>11200</v>
      </c>
      <c r="G241" s="92">
        <f>G242</f>
        <v>11200</v>
      </c>
    </row>
    <row r="242" spans="1:7" ht="17.25" customHeight="1" x14ac:dyDescent="0.25">
      <c r="A242" s="37">
        <v>421</v>
      </c>
      <c r="B242" s="38"/>
      <c r="C242" s="39"/>
      <c r="D242" s="40" t="s">
        <v>189</v>
      </c>
      <c r="E242" s="93"/>
      <c r="F242" s="93">
        <f>F243</f>
        <v>11200</v>
      </c>
      <c r="G242" s="93">
        <f>G243</f>
        <v>11200</v>
      </c>
    </row>
    <row r="243" spans="1:7" x14ac:dyDescent="0.25">
      <c r="A243" s="83">
        <v>4212</v>
      </c>
      <c r="B243" s="84"/>
      <c r="C243" s="85"/>
      <c r="D243" s="82" t="s">
        <v>190</v>
      </c>
      <c r="E243" s="94"/>
      <c r="F243" s="94">
        <v>11200</v>
      </c>
      <c r="G243" s="164">
        <f>F243-E243</f>
        <v>11200</v>
      </c>
    </row>
    <row r="244" spans="1:7" x14ac:dyDescent="0.25">
      <c r="A244" s="83"/>
      <c r="B244" s="84"/>
      <c r="C244" s="85"/>
      <c r="D244" s="150" t="s">
        <v>97</v>
      </c>
      <c r="E244" s="152"/>
      <c r="F244" s="152">
        <v>11200</v>
      </c>
      <c r="G244" s="152">
        <v>11200</v>
      </c>
    </row>
    <row r="245" spans="1:7" x14ac:dyDescent="0.25">
      <c r="A245" s="83"/>
      <c r="B245" s="84"/>
      <c r="C245" s="85"/>
      <c r="D245" s="82"/>
      <c r="E245" s="94"/>
      <c r="F245" s="94"/>
      <c r="G245" s="94"/>
    </row>
    <row r="246" spans="1:7" ht="38.25" x14ac:dyDescent="0.25">
      <c r="A246" s="213" t="s">
        <v>25</v>
      </c>
      <c r="B246" s="214"/>
      <c r="C246" s="215"/>
      <c r="D246" s="18" t="s">
        <v>26</v>
      </c>
      <c r="E246" s="19" t="s">
        <v>158</v>
      </c>
      <c r="F246" s="19" t="s">
        <v>173</v>
      </c>
      <c r="G246" s="19" t="s">
        <v>185</v>
      </c>
    </row>
    <row r="247" spans="1:7" ht="15" customHeight="1" x14ac:dyDescent="0.25">
      <c r="A247" s="210" t="s">
        <v>98</v>
      </c>
      <c r="B247" s="211"/>
      <c r="C247" s="212"/>
      <c r="D247" s="141" t="s">
        <v>32</v>
      </c>
      <c r="E247" s="8"/>
      <c r="F247" s="8"/>
      <c r="G247" s="8"/>
    </row>
    <row r="248" spans="1:7" ht="25.5" customHeight="1" x14ac:dyDescent="0.25">
      <c r="A248" s="210" t="s">
        <v>176</v>
      </c>
      <c r="B248" s="211"/>
      <c r="C248" s="212"/>
      <c r="D248" s="141" t="s">
        <v>177</v>
      </c>
      <c r="E248" s="8"/>
      <c r="F248" s="8"/>
      <c r="G248" s="8"/>
    </row>
    <row r="249" spans="1:7" x14ac:dyDescent="0.25">
      <c r="A249" s="216">
        <v>51</v>
      </c>
      <c r="B249" s="217"/>
      <c r="C249" s="218"/>
      <c r="D249" s="142" t="s">
        <v>103</v>
      </c>
      <c r="E249" s="8"/>
      <c r="F249" s="8"/>
      <c r="G249" s="8"/>
    </row>
    <row r="250" spans="1:7" x14ac:dyDescent="0.25">
      <c r="A250" s="219">
        <v>3</v>
      </c>
      <c r="B250" s="220"/>
      <c r="C250" s="221"/>
      <c r="D250" s="148" t="s">
        <v>15</v>
      </c>
      <c r="E250" s="151">
        <f>SUM(E251+E260)</f>
        <v>0</v>
      </c>
      <c r="F250" s="151">
        <f>SUM(F251+F260)</f>
        <v>4757.3099999999995</v>
      </c>
      <c r="G250" s="151">
        <f>SUM(G251+G260)</f>
        <v>4757.3099999999995</v>
      </c>
    </row>
    <row r="251" spans="1:7" x14ac:dyDescent="0.25">
      <c r="A251" s="222">
        <v>31</v>
      </c>
      <c r="B251" s="223"/>
      <c r="C251" s="224"/>
      <c r="D251" s="41" t="s">
        <v>16</v>
      </c>
      <c r="E251" s="92">
        <f t="shared" ref="E251:F251" si="88">SUM(E252+E256+E258)</f>
        <v>0</v>
      </c>
      <c r="F251" s="92">
        <f t="shared" si="88"/>
        <v>4648.53</v>
      </c>
      <c r="G251" s="92">
        <f t="shared" ref="G251" si="89">SUM(G252+G256+G258)</f>
        <v>4648.53</v>
      </c>
    </row>
    <row r="252" spans="1:7" x14ac:dyDescent="0.25">
      <c r="A252" s="37">
        <v>311</v>
      </c>
      <c r="B252" s="38"/>
      <c r="C252" s="39"/>
      <c r="D252" s="40" t="s">
        <v>40</v>
      </c>
      <c r="E252" s="93">
        <f t="shared" ref="E252:F252" si="90">SUM(E253:E255)</f>
        <v>0</v>
      </c>
      <c r="F252" s="93">
        <f t="shared" si="90"/>
        <v>3758.3999999999996</v>
      </c>
      <c r="G252" s="93">
        <f t="shared" ref="G252" si="91">SUM(G253:G255)</f>
        <v>3758.3999999999996</v>
      </c>
    </row>
    <row r="253" spans="1:7" x14ac:dyDescent="0.25">
      <c r="A253" s="83">
        <v>3111</v>
      </c>
      <c r="B253" s="84"/>
      <c r="C253" s="85"/>
      <c r="D253" s="82" t="s">
        <v>52</v>
      </c>
      <c r="E253" s="94"/>
      <c r="F253" s="94">
        <f>1900.8+1857.6</f>
        <v>3758.3999999999996</v>
      </c>
      <c r="G253" s="164">
        <f>F253-E253</f>
        <v>3758.3999999999996</v>
      </c>
    </row>
    <row r="254" spans="1:7" x14ac:dyDescent="0.25">
      <c r="A254" s="83">
        <v>3113</v>
      </c>
      <c r="B254" s="84"/>
      <c r="C254" s="85"/>
      <c r="D254" s="82" t="s">
        <v>53</v>
      </c>
      <c r="E254" s="94"/>
      <c r="F254" s="94"/>
      <c r="G254" s="94"/>
    </row>
    <row r="255" spans="1:7" x14ac:dyDescent="0.25">
      <c r="A255" s="83">
        <v>3114</v>
      </c>
      <c r="B255" s="84"/>
      <c r="C255" s="85"/>
      <c r="D255" s="82" t="s">
        <v>54</v>
      </c>
      <c r="E255" s="94"/>
      <c r="F255" s="94"/>
      <c r="G255" s="94"/>
    </row>
    <row r="256" spans="1:7" x14ac:dyDescent="0.25">
      <c r="A256" s="37">
        <v>312</v>
      </c>
      <c r="B256" s="38"/>
      <c r="C256" s="39"/>
      <c r="D256" s="40" t="s">
        <v>55</v>
      </c>
      <c r="E256" s="93">
        <f t="shared" ref="E256:G256" si="92">SUM(E257)</f>
        <v>0</v>
      </c>
      <c r="F256" s="93">
        <f t="shared" si="92"/>
        <v>270</v>
      </c>
      <c r="G256" s="93">
        <f t="shared" si="92"/>
        <v>270</v>
      </c>
    </row>
    <row r="257" spans="1:7" x14ac:dyDescent="0.25">
      <c r="A257" s="83">
        <v>3121</v>
      </c>
      <c r="B257" s="84"/>
      <c r="C257" s="85"/>
      <c r="D257" s="82" t="s">
        <v>56</v>
      </c>
      <c r="E257" s="94"/>
      <c r="F257" s="94">
        <v>270</v>
      </c>
      <c r="G257" s="164">
        <f>F257-E257</f>
        <v>270</v>
      </c>
    </row>
    <row r="258" spans="1:7" x14ac:dyDescent="0.25">
      <c r="A258" s="37">
        <v>313</v>
      </c>
      <c r="B258" s="38"/>
      <c r="C258" s="39"/>
      <c r="D258" s="40" t="s">
        <v>41</v>
      </c>
      <c r="E258" s="93">
        <f t="shared" ref="E258:F258" si="93">SUM(E259:E259)</f>
        <v>0</v>
      </c>
      <c r="F258" s="93">
        <f t="shared" si="93"/>
        <v>620.13</v>
      </c>
      <c r="G258" s="93">
        <f>SUM(G259:G259)</f>
        <v>620.13</v>
      </c>
    </row>
    <row r="259" spans="1:7" ht="25.5" x14ac:dyDescent="0.25">
      <c r="A259" s="83">
        <v>3132</v>
      </c>
      <c r="B259" s="84"/>
      <c r="C259" s="85"/>
      <c r="D259" s="82" t="s">
        <v>57</v>
      </c>
      <c r="E259" s="94"/>
      <c r="F259" s="94">
        <f>313.63+306.5</f>
        <v>620.13</v>
      </c>
      <c r="G259" s="164">
        <f>F259-E259</f>
        <v>620.13</v>
      </c>
    </row>
    <row r="260" spans="1:7" x14ac:dyDescent="0.25">
      <c r="A260" s="222">
        <v>32</v>
      </c>
      <c r="B260" s="223"/>
      <c r="C260" s="224"/>
      <c r="D260" s="41" t="s">
        <v>27</v>
      </c>
      <c r="E260" s="92">
        <f t="shared" ref="E260" si="94">E261</f>
        <v>0</v>
      </c>
      <c r="F260" s="92">
        <f t="shared" ref="F260:G260" si="95">F261</f>
        <v>108.78</v>
      </c>
      <c r="G260" s="92">
        <f t="shared" si="95"/>
        <v>108.78</v>
      </c>
    </row>
    <row r="261" spans="1:7" x14ac:dyDescent="0.25">
      <c r="A261" s="37">
        <v>321</v>
      </c>
      <c r="B261" s="38"/>
      <c r="C261" s="39"/>
      <c r="D261" s="40" t="s">
        <v>42</v>
      </c>
      <c r="E261" s="93">
        <f t="shared" ref="E261:F261" si="96">SUM(E262:E265)</f>
        <v>0</v>
      </c>
      <c r="F261" s="93">
        <f t="shared" si="96"/>
        <v>108.78</v>
      </c>
      <c r="G261" s="93">
        <f t="shared" ref="G261" si="97">SUM(G262:G265)</f>
        <v>108.78</v>
      </c>
    </row>
    <row r="262" spans="1:7" x14ac:dyDescent="0.25">
      <c r="A262" s="83">
        <v>3211</v>
      </c>
      <c r="B262" s="84"/>
      <c r="C262" s="85"/>
      <c r="D262" s="82" t="s">
        <v>58</v>
      </c>
      <c r="E262" s="94"/>
      <c r="F262" s="94">
        <v>27</v>
      </c>
      <c r="G262" s="164">
        <f t="shared" ref="G262:G263" si="98">F262-E262</f>
        <v>27</v>
      </c>
    </row>
    <row r="263" spans="1:7" ht="25.5" x14ac:dyDescent="0.25">
      <c r="A263" s="83">
        <v>3212</v>
      </c>
      <c r="B263" s="84"/>
      <c r="C263" s="85"/>
      <c r="D263" s="82" t="s">
        <v>126</v>
      </c>
      <c r="E263" s="94"/>
      <c r="F263" s="94">
        <f>43.55+38.23</f>
        <v>81.78</v>
      </c>
      <c r="G263" s="164">
        <f t="shared" si="98"/>
        <v>81.78</v>
      </c>
    </row>
    <row r="264" spans="1:7" x14ac:dyDescent="0.25">
      <c r="A264" s="83">
        <v>3213</v>
      </c>
      <c r="B264" s="84"/>
      <c r="C264" s="85"/>
      <c r="D264" s="82" t="s">
        <v>60</v>
      </c>
      <c r="E264" s="94"/>
      <c r="F264" s="94"/>
      <c r="G264" s="94"/>
    </row>
    <row r="265" spans="1:7" ht="25.5" x14ac:dyDescent="0.25">
      <c r="A265" s="83">
        <v>3214</v>
      </c>
      <c r="B265" s="84"/>
      <c r="C265" s="85"/>
      <c r="D265" s="82" t="s">
        <v>61</v>
      </c>
      <c r="E265" s="94"/>
      <c r="F265" s="94"/>
      <c r="G265" s="94"/>
    </row>
    <row r="266" spans="1:7" x14ac:dyDescent="0.25">
      <c r="A266" s="83"/>
      <c r="B266" s="84"/>
      <c r="C266" s="85"/>
      <c r="D266" s="150" t="s">
        <v>97</v>
      </c>
      <c r="E266" s="152">
        <f t="shared" ref="E266:F266" si="99">SUM(E250)</f>
        <v>0</v>
      </c>
      <c r="F266" s="152">
        <f t="shared" si="99"/>
        <v>4757.3099999999995</v>
      </c>
      <c r="G266" s="152">
        <f>SUM(G250)</f>
        <v>4757.3099999999995</v>
      </c>
    </row>
    <row r="267" spans="1:7" x14ac:dyDescent="0.25">
      <c r="A267" s="83"/>
      <c r="B267" s="84"/>
      <c r="C267" s="85"/>
      <c r="D267" s="82"/>
      <c r="E267" s="8"/>
      <c r="F267" s="8"/>
      <c r="G267" s="8"/>
    </row>
    <row r="268" spans="1:7" x14ac:dyDescent="0.25">
      <c r="A268" s="83"/>
      <c r="B268" s="84"/>
      <c r="C268" s="85"/>
      <c r="D268" s="82"/>
      <c r="E268" s="8"/>
      <c r="F268" s="8"/>
      <c r="G268" s="8"/>
    </row>
    <row r="269" spans="1:7" ht="38.25" x14ac:dyDescent="0.25">
      <c r="A269" s="213" t="s">
        <v>25</v>
      </c>
      <c r="B269" s="214"/>
      <c r="C269" s="215"/>
      <c r="D269" s="18" t="s">
        <v>26</v>
      </c>
      <c r="E269" s="19" t="s">
        <v>158</v>
      </c>
      <c r="F269" s="19" t="s">
        <v>173</v>
      </c>
      <c r="G269" s="19" t="s">
        <v>185</v>
      </c>
    </row>
    <row r="270" spans="1:7" ht="15" customHeight="1" x14ac:dyDescent="0.25">
      <c r="A270" s="210" t="s">
        <v>98</v>
      </c>
      <c r="B270" s="211"/>
      <c r="C270" s="212"/>
      <c r="D270" s="86" t="s">
        <v>32</v>
      </c>
      <c r="E270" s="8"/>
      <c r="F270" s="8"/>
      <c r="G270" s="8"/>
    </row>
    <row r="271" spans="1:7" ht="25.5" customHeight="1" x14ac:dyDescent="0.25">
      <c r="A271" s="210" t="s">
        <v>127</v>
      </c>
      <c r="B271" s="211"/>
      <c r="C271" s="212"/>
      <c r="D271" s="112" t="s">
        <v>132</v>
      </c>
      <c r="E271" s="8"/>
      <c r="F271" s="8"/>
      <c r="G271" s="8"/>
    </row>
    <row r="272" spans="1:7" ht="15" customHeight="1" x14ac:dyDescent="0.25">
      <c r="A272" s="216">
        <v>52</v>
      </c>
      <c r="B272" s="217"/>
      <c r="C272" s="218"/>
      <c r="D272" s="87" t="s">
        <v>36</v>
      </c>
      <c r="E272" s="8"/>
      <c r="F272" s="8"/>
      <c r="G272" s="8"/>
    </row>
    <row r="273" spans="1:7" x14ac:dyDescent="0.25">
      <c r="A273" s="219">
        <v>3</v>
      </c>
      <c r="B273" s="220"/>
      <c r="C273" s="221"/>
      <c r="D273" s="176" t="s">
        <v>15</v>
      </c>
      <c r="E273" s="151">
        <f>SUM(E274+E283+E316+E320)</f>
        <v>559000</v>
      </c>
      <c r="F273" s="151">
        <f>SUM(F274+F283+F316+F320)</f>
        <v>731188.8600000001</v>
      </c>
      <c r="G273" s="151">
        <f>SUM(G274+G283+G316+G320)</f>
        <v>172188.86</v>
      </c>
    </row>
    <row r="274" spans="1:7" x14ac:dyDescent="0.25">
      <c r="A274" s="222">
        <v>31</v>
      </c>
      <c r="B274" s="223"/>
      <c r="C274" s="224"/>
      <c r="D274" s="41" t="s">
        <v>16</v>
      </c>
      <c r="E274" s="92">
        <f>SUM(E275+E279+E281)</f>
        <v>511208</v>
      </c>
      <c r="F274" s="92">
        <f t="shared" ref="F274" si="100">SUM(F275+F279+F281)</f>
        <v>681575</v>
      </c>
      <c r="G274" s="92">
        <f t="shared" ref="G274" si="101">SUM(G275+G279+G281)</f>
        <v>170367</v>
      </c>
    </row>
    <row r="275" spans="1:7" ht="15" customHeight="1" x14ac:dyDescent="0.25">
      <c r="A275" s="37">
        <v>311</v>
      </c>
      <c r="B275" s="38"/>
      <c r="C275" s="39"/>
      <c r="D275" s="40" t="s">
        <v>40</v>
      </c>
      <c r="E275" s="93">
        <f t="shared" ref="E275:F275" si="102">SUM(E276:E278)</f>
        <v>425708</v>
      </c>
      <c r="F275" s="93">
        <f t="shared" si="102"/>
        <v>570020</v>
      </c>
      <c r="G275" s="93">
        <f t="shared" ref="G275" si="103">SUM(G276:G278)</f>
        <v>144312</v>
      </c>
    </row>
    <row r="276" spans="1:7" x14ac:dyDescent="0.25">
      <c r="A276" s="83">
        <v>3111</v>
      </c>
      <c r="B276" s="84"/>
      <c r="C276" s="85"/>
      <c r="D276" s="82" t="s">
        <v>52</v>
      </c>
      <c r="E276" s="94">
        <v>425708</v>
      </c>
      <c r="F276" s="94">
        <f>622520-4000-48500</f>
        <v>570020</v>
      </c>
      <c r="G276" s="164">
        <f>F276-E276</f>
        <v>144312</v>
      </c>
    </row>
    <row r="277" spans="1:7" x14ac:dyDescent="0.25">
      <c r="A277" s="83">
        <v>3113</v>
      </c>
      <c r="B277" s="84"/>
      <c r="C277" s="85"/>
      <c r="D277" s="82" t="s">
        <v>53</v>
      </c>
      <c r="E277" s="94"/>
      <c r="F277" s="94"/>
      <c r="G277" s="94"/>
    </row>
    <row r="278" spans="1:7" x14ac:dyDescent="0.25">
      <c r="A278" s="83">
        <v>3114</v>
      </c>
      <c r="B278" s="84"/>
      <c r="C278" s="85"/>
      <c r="D278" s="82" t="s">
        <v>54</v>
      </c>
      <c r="E278" s="94"/>
      <c r="F278" s="94"/>
      <c r="G278" s="94"/>
    </row>
    <row r="279" spans="1:7" x14ac:dyDescent="0.25">
      <c r="A279" s="37">
        <v>312</v>
      </c>
      <c r="B279" s="38"/>
      <c r="C279" s="39"/>
      <c r="D279" s="40" t="s">
        <v>55</v>
      </c>
      <c r="E279" s="93">
        <f t="shared" ref="E279:G279" si="104">SUM(E280)</f>
        <v>15500</v>
      </c>
      <c r="F279" s="93">
        <f t="shared" si="104"/>
        <v>21545</v>
      </c>
      <c r="G279" s="93">
        <f t="shared" si="104"/>
        <v>6045</v>
      </c>
    </row>
    <row r="280" spans="1:7" x14ac:dyDescent="0.25">
      <c r="A280" s="83">
        <v>3121</v>
      </c>
      <c r="B280" s="84"/>
      <c r="C280" s="85"/>
      <c r="D280" s="82" t="s">
        <v>56</v>
      </c>
      <c r="E280" s="94">
        <v>15500</v>
      </c>
      <c r="F280" s="94">
        <v>21545</v>
      </c>
      <c r="G280" s="164">
        <f>F280-E280</f>
        <v>6045</v>
      </c>
    </row>
    <row r="281" spans="1:7" x14ac:dyDescent="0.25">
      <c r="A281" s="37">
        <v>313</v>
      </c>
      <c r="B281" s="38"/>
      <c r="C281" s="39"/>
      <c r="D281" s="40" t="s">
        <v>41</v>
      </c>
      <c r="E281" s="93">
        <f>SUM(E282:E282)</f>
        <v>70000</v>
      </c>
      <c r="F281" s="93">
        <f>SUM(F282:F282)</f>
        <v>90010</v>
      </c>
      <c r="G281" s="93">
        <f>SUM(G282:G282)</f>
        <v>20010</v>
      </c>
    </row>
    <row r="282" spans="1:7" ht="25.5" x14ac:dyDescent="0.25">
      <c r="A282" s="83">
        <v>3132</v>
      </c>
      <c r="B282" s="84"/>
      <c r="C282" s="85"/>
      <c r="D282" s="82" t="s">
        <v>57</v>
      </c>
      <c r="E282" s="94">
        <v>70000</v>
      </c>
      <c r="F282" s="94">
        <f>98010-8000</f>
        <v>90010</v>
      </c>
      <c r="G282" s="164">
        <f>F282-E282</f>
        <v>20010</v>
      </c>
    </row>
    <row r="283" spans="1:7" x14ac:dyDescent="0.25">
      <c r="A283" s="222">
        <v>32</v>
      </c>
      <c r="B283" s="223"/>
      <c r="C283" s="224"/>
      <c r="D283" s="41" t="s">
        <v>27</v>
      </c>
      <c r="E283" s="92">
        <f>SUM(E284+E289+E297+E307+E308)</f>
        <v>44292</v>
      </c>
      <c r="F283" s="92">
        <f t="shared" ref="F283" si="105">SUM(F284+F289+F297+F307+F308)</f>
        <v>44053.55</v>
      </c>
      <c r="G283" s="92">
        <f t="shared" ref="G283" si="106">SUM(G284+G289+G297+G307+G308)</f>
        <v>-238.45000000000005</v>
      </c>
    </row>
    <row r="284" spans="1:7" x14ac:dyDescent="0.25">
      <c r="A284" s="37">
        <v>321</v>
      </c>
      <c r="B284" s="38"/>
      <c r="C284" s="39"/>
      <c r="D284" s="40" t="s">
        <v>42</v>
      </c>
      <c r="E284" s="93">
        <f t="shared" ref="E284:F284" si="107">SUM(E285:E288)</f>
        <v>17000</v>
      </c>
      <c r="F284" s="93">
        <f t="shared" si="107"/>
        <v>17056</v>
      </c>
      <c r="G284" s="93">
        <f t="shared" ref="G284" si="108">SUM(G285:G288)</f>
        <v>56</v>
      </c>
    </row>
    <row r="285" spans="1:7" x14ac:dyDescent="0.25">
      <c r="A285" s="83">
        <v>3211</v>
      </c>
      <c r="B285" s="84"/>
      <c r="C285" s="85"/>
      <c r="D285" s="82" t="s">
        <v>58</v>
      </c>
      <c r="E285" s="94"/>
      <c r="F285" s="94"/>
      <c r="G285" s="94"/>
    </row>
    <row r="286" spans="1:7" ht="25.5" x14ac:dyDescent="0.25">
      <c r="A286" s="83">
        <v>3212</v>
      </c>
      <c r="B286" s="84"/>
      <c r="C286" s="85"/>
      <c r="D286" s="82" t="s">
        <v>126</v>
      </c>
      <c r="E286" s="94">
        <v>17000</v>
      </c>
      <c r="F286" s="94">
        <f>19056-2000</f>
        <v>17056</v>
      </c>
      <c r="G286" s="164">
        <f>F286-E286</f>
        <v>56</v>
      </c>
    </row>
    <row r="287" spans="1:7" x14ac:dyDescent="0.25">
      <c r="A287" s="83">
        <v>3213</v>
      </c>
      <c r="B287" s="84"/>
      <c r="C287" s="85"/>
      <c r="D287" s="82" t="s">
        <v>60</v>
      </c>
      <c r="E287" s="94"/>
      <c r="F287" s="94"/>
      <c r="G287" s="94"/>
    </row>
    <row r="288" spans="1:7" ht="25.5" x14ac:dyDescent="0.25">
      <c r="A288" s="83">
        <v>3214</v>
      </c>
      <c r="B288" s="84"/>
      <c r="C288" s="85"/>
      <c r="D288" s="82" t="s">
        <v>61</v>
      </c>
      <c r="E288" s="94"/>
      <c r="F288" s="94"/>
      <c r="G288" s="94"/>
    </row>
    <row r="289" spans="1:7" x14ac:dyDescent="0.25">
      <c r="A289" s="37">
        <v>322</v>
      </c>
      <c r="B289" s="38"/>
      <c r="C289" s="39"/>
      <c r="D289" s="40" t="s">
        <v>43</v>
      </c>
      <c r="E289" s="93">
        <f t="shared" ref="E289:F289" si="109">SUM(E290:E296)</f>
        <v>25492</v>
      </c>
      <c r="F289" s="93">
        <f t="shared" si="109"/>
        <v>24595.55</v>
      </c>
      <c r="G289" s="93">
        <f t="shared" ref="G289" si="110">SUM(G290:G296)</f>
        <v>-896.45</v>
      </c>
    </row>
    <row r="290" spans="1:7" ht="25.5" x14ac:dyDescent="0.25">
      <c r="A290" s="83">
        <v>3221</v>
      </c>
      <c r="B290" s="84"/>
      <c r="C290" s="85"/>
      <c r="D290" s="82" t="s">
        <v>62</v>
      </c>
      <c r="E290" s="94"/>
      <c r="F290" s="94">
        <f>195.14+400.41</f>
        <v>595.54999999999995</v>
      </c>
      <c r="G290" s="164">
        <f t="shared" ref="G290:G291" si="111">F290-E290</f>
        <v>595.54999999999995</v>
      </c>
    </row>
    <row r="291" spans="1:7" x14ac:dyDescent="0.25">
      <c r="A291" s="83">
        <v>3222</v>
      </c>
      <c r="B291" s="84"/>
      <c r="C291" s="85"/>
      <c r="D291" s="82" t="s">
        <v>63</v>
      </c>
      <c r="E291" s="94">
        <v>24200</v>
      </c>
      <c r="F291" s="94">
        <v>24000</v>
      </c>
      <c r="G291" s="164">
        <f t="shared" si="111"/>
        <v>-200</v>
      </c>
    </row>
    <row r="292" spans="1:7" x14ac:dyDescent="0.25">
      <c r="A292" s="83">
        <v>3223</v>
      </c>
      <c r="B292" s="84"/>
      <c r="C292" s="85"/>
      <c r="D292" s="82" t="s">
        <v>64</v>
      </c>
      <c r="E292" s="94"/>
      <c r="F292" s="94"/>
      <c r="G292" s="94"/>
    </row>
    <row r="293" spans="1:7" ht="25.5" x14ac:dyDescent="0.25">
      <c r="A293" s="83">
        <v>3224</v>
      </c>
      <c r="B293" s="84"/>
      <c r="C293" s="85"/>
      <c r="D293" s="82" t="s">
        <v>65</v>
      </c>
      <c r="E293" s="94"/>
      <c r="F293" s="94"/>
      <c r="G293" s="94"/>
    </row>
    <row r="294" spans="1:7" x14ac:dyDescent="0.25">
      <c r="A294" s="83">
        <v>3225</v>
      </c>
      <c r="B294" s="84"/>
      <c r="C294" s="85"/>
      <c r="D294" s="82" t="s">
        <v>66</v>
      </c>
      <c r="E294" s="94">
        <v>1292</v>
      </c>
      <c r="F294" s="94"/>
      <c r="G294" s="164">
        <f>F294-E294</f>
        <v>-1292</v>
      </c>
    </row>
    <row r="295" spans="1:7" ht="25.5" x14ac:dyDescent="0.25">
      <c r="A295" s="83">
        <v>3226</v>
      </c>
      <c r="B295" s="84"/>
      <c r="C295" s="85"/>
      <c r="D295" s="82" t="s">
        <v>67</v>
      </c>
      <c r="E295" s="94"/>
      <c r="F295" s="94"/>
      <c r="G295" s="94"/>
    </row>
    <row r="296" spans="1:7" ht="25.5" x14ac:dyDescent="0.25">
      <c r="A296" s="83">
        <v>3227</v>
      </c>
      <c r="B296" s="84"/>
      <c r="C296" s="85"/>
      <c r="D296" s="82" t="s">
        <v>68</v>
      </c>
      <c r="E296" s="94"/>
      <c r="F296" s="94"/>
      <c r="G296" s="94"/>
    </row>
    <row r="297" spans="1:7" x14ac:dyDescent="0.25">
      <c r="A297" s="37">
        <v>323</v>
      </c>
      <c r="B297" s="38"/>
      <c r="C297" s="39"/>
      <c r="D297" s="40" t="s">
        <v>44</v>
      </c>
      <c r="E297" s="93">
        <f t="shared" ref="E297:F297" si="112">SUM(E298:E306)</f>
        <v>0</v>
      </c>
      <c r="F297" s="93">
        <f t="shared" si="112"/>
        <v>0</v>
      </c>
      <c r="G297" s="93">
        <f t="shared" ref="G297" si="113">SUM(G298:G306)</f>
        <v>0</v>
      </c>
    </row>
    <row r="298" spans="1:7" x14ac:dyDescent="0.25">
      <c r="A298" s="83">
        <v>3231</v>
      </c>
      <c r="B298" s="84"/>
      <c r="C298" s="85"/>
      <c r="D298" s="82" t="s">
        <v>69</v>
      </c>
      <c r="E298" s="94"/>
      <c r="F298" s="94"/>
      <c r="G298" s="94"/>
    </row>
    <row r="299" spans="1:7" ht="25.5" x14ac:dyDescent="0.25">
      <c r="A299" s="83">
        <v>3232</v>
      </c>
      <c r="B299" s="84"/>
      <c r="C299" s="85"/>
      <c r="D299" s="82" t="s">
        <v>70</v>
      </c>
      <c r="E299" s="94"/>
      <c r="F299" s="94"/>
      <c r="G299" s="94"/>
    </row>
    <row r="300" spans="1:7" x14ac:dyDescent="0.25">
      <c r="A300" s="83">
        <v>3233</v>
      </c>
      <c r="B300" s="84"/>
      <c r="C300" s="85"/>
      <c r="D300" s="82" t="s">
        <v>71</v>
      </c>
      <c r="E300" s="94"/>
      <c r="F300" s="94"/>
      <c r="G300" s="94"/>
    </row>
    <row r="301" spans="1:7" x14ac:dyDescent="0.25">
      <c r="A301" s="83">
        <v>3234</v>
      </c>
      <c r="B301" s="84"/>
      <c r="C301" s="85"/>
      <c r="D301" s="82" t="s">
        <v>72</v>
      </c>
      <c r="E301" s="94"/>
      <c r="F301" s="94"/>
      <c r="G301" s="94"/>
    </row>
    <row r="302" spans="1:7" x14ac:dyDescent="0.25">
      <c r="A302" s="83">
        <v>3235</v>
      </c>
      <c r="B302" s="84"/>
      <c r="C302" s="85"/>
      <c r="D302" s="82" t="s">
        <v>73</v>
      </c>
      <c r="E302" s="94"/>
      <c r="F302" s="94"/>
      <c r="G302" s="94"/>
    </row>
    <row r="303" spans="1:7" x14ac:dyDescent="0.25">
      <c r="A303" s="83">
        <v>3236</v>
      </c>
      <c r="B303" s="84"/>
      <c r="C303" s="85"/>
      <c r="D303" s="82" t="s">
        <v>74</v>
      </c>
      <c r="E303" s="94"/>
      <c r="F303" s="94"/>
      <c r="G303" s="94"/>
    </row>
    <row r="304" spans="1:7" x14ac:dyDescent="0.25">
      <c r="A304" s="83">
        <v>3237</v>
      </c>
      <c r="B304" s="84"/>
      <c r="C304" s="85"/>
      <c r="D304" s="82" t="s">
        <v>75</v>
      </c>
      <c r="E304" s="94"/>
      <c r="F304" s="94"/>
      <c r="G304" s="94"/>
    </row>
    <row r="305" spans="1:7" x14ac:dyDescent="0.25">
      <c r="A305" s="83">
        <v>3238</v>
      </c>
      <c r="B305" s="84"/>
      <c r="C305" s="85"/>
      <c r="D305" s="82" t="s">
        <v>76</v>
      </c>
      <c r="E305" s="94"/>
      <c r="F305" s="94"/>
      <c r="G305" s="94"/>
    </row>
    <row r="306" spans="1:7" x14ac:dyDescent="0.25">
      <c r="A306" s="83">
        <v>3239</v>
      </c>
      <c r="B306" s="84"/>
      <c r="C306" s="85"/>
      <c r="D306" s="82" t="s">
        <v>77</v>
      </c>
      <c r="E306" s="94"/>
      <c r="F306" s="94"/>
      <c r="G306" s="94"/>
    </row>
    <row r="307" spans="1:7" ht="25.5" x14ac:dyDescent="0.25">
      <c r="A307" s="37">
        <v>324</v>
      </c>
      <c r="B307" s="38"/>
      <c r="C307" s="39"/>
      <c r="D307" s="40" t="s">
        <v>78</v>
      </c>
      <c r="E307" s="93"/>
      <c r="F307" s="93"/>
      <c r="G307" s="93"/>
    </row>
    <row r="308" spans="1:7" ht="25.5" x14ac:dyDescent="0.25">
      <c r="A308" s="37">
        <v>329</v>
      </c>
      <c r="B308" s="38"/>
      <c r="C308" s="39"/>
      <c r="D308" s="40" t="s">
        <v>79</v>
      </c>
      <c r="E308" s="93">
        <f t="shared" ref="E308:F308" si="114">SUM(E309:E315)</f>
        <v>1800</v>
      </c>
      <c r="F308" s="93">
        <f t="shared" si="114"/>
        <v>2402</v>
      </c>
      <c r="G308" s="93">
        <f t="shared" ref="G308" si="115">SUM(G309:G315)</f>
        <v>602</v>
      </c>
    </row>
    <row r="309" spans="1:7" ht="38.25" x14ac:dyDescent="0.25">
      <c r="A309" s="83">
        <v>3291</v>
      </c>
      <c r="B309" s="84"/>
      <c r="C309" s="85"/>
      <c r="D309" s="82" t="s">
        <v>80</v>
      </c>
      <c r="E309" s="94"/>
      <c r="F309" s="94"/>
      <c r="G309" s="94"/>
    </row>
    <row r="310" spans="1:7" x14ac:dyDescent="0.25">
      <c r="A310" s="83">
        <v>3292</v>
      </c>
      <c r="B310" s="84"/>
      <c r="C310" s="85"/>
      <c r="D310" s="82" t="s">
        <v>81</v>
      </c>
      <c r="E310" s="94"/>
      <c r="F310" s="94"/>
      <c r="G310" s="94"/>
    </row>
    <row r="311" spans="1:7" x14ac:dyDescent="0.25">
      <c r="A311" s="83">
        <v>3293</v>
      </c>
      <c r="B311" s="84"/>
      <c r="C311" s="85"/>
      <c r="D311" s="82" t="s">
        <v>82</v>
      </c>
      <c r="E311" s="94"/>
      <c r="F311" s="94"/>
      <c r="G311" s="94"/>
    </row>
    <row r="312" spans="1:7" x14ac:dyDescent="0.25">
      <c r="A312" s="83">
        <v>3294</v>
      </c>
      <c r="B312" s="84"/>
      <c r="C312" s="85"/>
      <c r="D312" s="82" t="s">
        <v>83</v>
      </c>
      <c r="E312" s="94"/>
      <c r="F312" s="94"/>
      <c r="G312" s="94"/>
    </row>
    <row r="313" spans="1:7" x14ac:dyDescent="0.25">
      <c r="A313" s="83">
        <v>3295</v>
      </c>
      <c r="B313" s="84"/>
      <c r="C313" s="85"/>
      <c r="D313" s="82" t="s">
        <v>84</v>
      </c>
      <c r="E313" s="94">
        <v>1800</v>
      </c>
      <c r="F313" s="94">
        <v>2156</v>
      </c>
      <c r="G313" s="164">
        <f>F313-E313</f>
        <v>356</v>
      </c>
    </row>
    <row r="314" spans="1:7" x14ac:dyDescent="0.25">
      <c r="A314" s="83">
        <v>3296</v>
      </c>
      <c r="B314" s="84"/>
      <c r="C314" s="85"/>
      <c r="D314" s="82" t="s">
        <v>85</v>
      </c>
      <c r="E314" s="94"/>
      <c r="F314" s="94"/>
      <c r="G314" s="94"/>
    </row>
    <row r="315" spans="1:7" ht="25.5" x14ac:dyDescent="0.25">
      <c r="A315" s="83">
        <v>3299</v>
      </c>
      <c r="B315" s="84"/>
      <c r="C315" s="85"/>
      <c r="D315" s="82" t="s">
        <v>45</v>
      </c>
      <c r="E315" s="94"/>
      <c r="F315" s="94">
        <v>246</v>
      </c>
      <c r="G315" s="164">
        <f>F315-E315</f>
        <v>246</v>
      </c>
    </row>
    <row r="316" spans="1:7" x14ac:dyDescent="0.25">
      <c r="A316" s="88">
        <v>34</v>
      </c>
      <c r="B316" s="89"/>
      <c r="C316" s="90"/>
      <c r="D316" s="41" t="s">
        <v>46</v>
      </c>
      <c r="E316" s="92">
        <f t="shared" ref="E316:G316" si="116">SUM(E317)</f>
        <v>0</v>
      </c>
      <c r="F316" s="92">
        <f t="shared" si="116"/>
        <v>0</v>
      </c>
      <c r="G316" s="92">
        <f t="shared" si="116"/>
        <v>0</v>
      </c>
    </row>
    <row r="317" spans="1:7" x14ac:dyDescent="0.25">
      <c r="A317" s="37">
        <v>343</v>
      </c>
      <c r="B317" s="38"/>
      <c r="C317" s="39"/>
      <c r="D317" s="40" t="s">
        <v>47</v>
      </c>
      <c r="E317" s="93">
        <f t="shared" ref="E317:F317" si="117">SUM(E318:E319)</f>
        <v>0</v>
      </c>
      <c r="F317" s="93">
        <f t="shared" si="117"/>
        <v>0</v>
      </c>
      <c r="G317" s="93">
        <f t="shared" ref="G317" si="118">SUM(G318:G319)</f>
        <v>0</v>
      </c>
    </row>
    <row r="318" spans="1:7" ht="25.5" x14ac:dyDescent="0.25">
      <c r="A318" s="83">
        <v>3431</v>
      </c>
      <c r="B318" s="84"/>
      <c r="C318" s="85"/>
      <c r="D318" s="82" t="s">
        <v>86</v>
      </c>
      <c r="E318" s="94"/>
      <c r="F318" s="94"/>
      <c r="G318" s="94"/>
    </row>
    <row r="319" spans="1:7" x14ac:dyDescent="0.25">
      <c r="A319" s="83">
        <v>3433</v>
      </c>
      <c r="B319" s="84"/>
      <c r="C319" s="85"/>
      <c r="D319" s="82" t="s">
        <v>87</v>
      </c>
      <c r="E319" s="94"/>
      <c r="F319" s="94"/>
      <c r="G319" s="94"/>
    </row>
    <row r="320" spans="1:7" ht="38.25" x14ac:dyDescent="0.25">
      <c r="A320" s="88">
        <v>37</v>
      </c>
      <c r="B320" s="89"/>
      <c r="C320" s="90"/>
      <c r="D320" s="41" t="s">
        <v>48</v>
      </c>
      <c r="E320" s="92">
        <f t="shared" ref="E320:G320" si="119">SUM(E321)</f>
        <v>3500</v>
      </c>
      <c r="F320" s="92">
        <f t="shared" si="119"/>
        <v>5560.31</v>
      </c>
      <c r="G320" s="92">
        <f t="shared" si="119"/>
        <v>2060.3100000000004</v>
      </c>
    </row>
    <row r="321" spans="1:7" ht="25.5" x14ac:dyDescent="0.25">
      <c r="A321" s="37">
        <v>372</v>
      </c>
      <c r="B321" s="38"/>
      <c r="C321" s="39"/>
      <c r="D321" s="40" t="s">
        <v>49</v>
      </c>
      <c r="E321" s="93">
        <f>E322+E323</f>
        <v>3500</v>
      </c>
      <c r="F321" s="93">
        <f t="shared" ref="F321" si="120">F322+F323</f>
        <v>5560.31</v>
      </c>
      <c r="G321" s="93">
        <f>SUM(G322+G323)</f>
        <v>2060.3100000000004</v>
      </c>
    </row>
    <row r="322" spans="1:7" ht="25.5" x14ac:dyDescent="0.25">
      <c r="A322" s="83">
        <v>3721</v>
      </c>
      <c r="B322" s="84"/>
      <c r="C322" s="85"/>
      <c r="D322" s="82" t="s">
        <v>88</v>
      </c>
      <c r="E322" s="94"/>
      <c r="F322" s="94"/>
      <c r="G322" s="94"/>
    </row>
    <row r="323" spans="1:7" ht="25.5" x14ac:dyDescent="0.25">
      <c r="A323" s="83">
        <v>3722</v>
      </c>
      <c r="B323" s="84"/>
      <c r="C323" s="85"/>
      <c r="D323" s="82" t="s">
        <v>89</v>
      </c>
      <c r="E323" s="94">
        <v>3500</v>
      </c>
      <c r="F323" s="94">
        <v>5560.31</v>
      </c>
      <c r="G323" s="164">
        <f>F323-E323</f>
        <v>2060.3100000000004</v>
      </c>
    </row>
    <row r="324" spans="1:7" ht="30.75" customHeight="1" x14ac:dyDescent="0.25">
      <c r="A324" s="179">
        <v>4</v>
      </c>
      <c r="B324" s="180"/>
      <c r="C324" s="181"/>
      <c r="D324" s="176" t="s">
        <v>38</v>
      </c>
      <c r="E324" s="151">
        <f>E326+E333</f>
        <v>3950</v>
      </c>
      <c r="F324" s="151">
        <f t="shared" ref="F324:G324" si="121">SUM(F325)</f>
        <v>3025.18</v>
      </c>
      <c r="G324" s="151">
        <f t="shared" si="121"/>
        <v>-924.82000000000016</v>
      </c>
    </row>
    <row r="325" spans="1:7" ht="38.25" x14ac:dyDescent="0.25">
      <c r="A325" s="88">
        <v>42</v>
      </c>
      <c r="B325" s="89"/>
      <c r="C325" s="90"/>
      <c r="D325" s="41" t="s">
        <v>38</v>
      </c>
      <c r="E325" s="92">
        <f>E326+E333</f>
        <v>3950</v>
      </c>
      <c r="F325" s="92">
        <f t="shared" ref="F325:G325" si="122">F326+F333</f>
        <v>3025.18</v>
      </c>
      <c r="G325" s="92">
        <f t="shared" si="122"/>
        <v>-924.82000000000016</v>
      </c>
    </row>
    <row r="326" spans="1:7" x14ac:dyDescent="0.25">
      <c r="A326" s="37">
        <v>422</v>
      </c>
      <c r="B326" s="38"/>
      <c r="C326" s="39"/>
      <c r="D326" s="40" t="s">
        <v>50</v>
      </c>
      <c r="E326" s="93">
        <f t="shared" ref="E326:F326" si="123">SUM(E327:E332)</f>
        <v>0</v>
      </c>
      <c r="F326" s="93">
        <f t="shared" si="123"/>
        <v>0</v>
      </c>
      <c r="G326" s="93">
        <f t="shared" ref="G326" si="124">SUM(G327:G332)</f>
        <v>0</v>
      </c>
    </row>
    <row r="327" spans="1:7" x14ac:dyDescent="0.25">
      <c r="A327" s="83">
        <v>4221</v>
      </c>
      <c r="B327" s="84"/>
      <c r="C327" s="85"/>
      <c r="D327" s="82" t="s">
        <v>90</v>
      </c>
      <c r="E327" s="94"/>
      <c r="F327" s="94"/>
      <c r="G327" s="94"/>
    </row>
    <row r="328" spans="1:7" x14ac:dyDescent="0.25">
      <c r="A328" s="83">
        <v>4222</v>
      </c>
      <c r="B328" s="84"/>
      <c r="C328" s="85"/>
      <c r="D328" s="82" t="s">
        <v>91</v>
      </c>
      <c r="E328" s="94"/>
      <c r="F328" s="94"/>
      <c r="G328" s="94"/>
    </row>
    <row r="329" spans="1:7" x14ac:dyDescent="0.25">
      <c r="A329" s="83">
        <v>4223</v>
      </c>
      <c r="B329" s="84"/>
      <c r="C329" s="85"/>
      <c r="D329" s="82" t="s">
        <v>92</v>
      </c>
      <c r="E329" s="94"/>
      <c r="F329" s="94"/>
      <c r="G329" s="94"/>
    </row>
    <row r="330" spans="1:7" x14ac:dyDescent="0.25">
      <c r="A330" s="83">
        <v>4225</v>
      </c>
      <c r="B330" s="84"/>
      <c r="C330" s="85"/>
      <c r="D330" s="82" t="s">
        <v>93</v>
      </c>
      <c r="E330" s="94"/>
      <c r="F330" s="94"/>
      <c r="G330" s="94"/>
    </row>
    <row r="331" spans="1:7" x14ac:dyDescent="0.25">
      <c r="A331" s="83">
        <v>4226</v>
      </c>
      <c r="B331" s="84"/>
      <c r="C331" s="85"/>
      <c r="D331" s="82" t="s">
        <v>94</v>
      </c>
      <c r="E331" s="94"/>
      <c r="F331" s="94"/>
      <c r="G331" s="94"/>
    </row>
    <row r="332" spans="1:7" ht="25.5" x14ac:dyDescent="0.25">
      <c r="A332" s="83">
        <v>4227</v>
      </c>
      <c r="B332" s="84"/>
      <c r="C332" s="85"/>
      <c r="D332" s="82" t="s">
        <v>95</v>
      </c>
      <c r="E332" s="94"/>
      <c r="F332" s="94"/>
      <c r="G332" s="94"/>
    </row>
    <row r="333" spans="1:7" ht="25.5" x14ac:dyDescent="0.25">
      <c r="A333" s="37">
        <v>424</v>
      </c>
      <c r="B333" s="38"/>
      <c r="C333" s="39"/>
      <c r="D333" s="40" t="s">
        <v>51</v>
      </c>
      <c r="E333" s="93">
        <f t="shared" ref="E333:G333" si="125">SUM(E334)</f>
        <v>3950</v>
      </c>
      <c r="F333" s="93">
        <f t="shared" si="125"/>
        <v>3025.18</v>
      </c>
      <c r="G333" s="93">
        <f t="shared" si="125"/>
        <v>-924.82000000000016</v>
      </c>
    </row>
    <row r="334" spans="1:7" x14ac:dyDescent="0.25">
      <c r="A334" s="83">
        <v>4241</v>
      </c>
      <c r="B334" s="84"/>
      <c r="C334" s="85"/>
      <c r="D334" s="82" t="s">
        <v>96</v>
      </c>
      <c r="E334" s="94">
        <v>3950</v>
      </c>
      <c r="F334" s="94">
        <v>3025.18</v>
      </c>
      <c r="G334" s="164">
        <f>F334-E334</f>
        <v>-924.82000000000016</v>
      </c>
    </row>
    <row r="335" spans="1:7" x14ac:dyDescent="0.25">
      <c r="A335" s="83"/>
      <c r="B335" s="84"/>
      <c r="C335" s="85"/>
      <c r="D335" s="82"/>
      <c r="E335" s="94"/>
      <c r="F335" s="94"/>
      <c r="G335" s="94"/>
    </row>
    <row r="336" spans="1:7" x14ac:dyDescent="0.25">
      <c r="A336" s="83"/>
      <c r="B336" s="84"/>
      <c r="C336" s="85"/>
      <c r="D336" s="150" t="s">
        <v>97</v>
      </c>
      <c r="E336" s="152">
        <f>SUM(E273+E324)</f>
        <v>562950</v>
      </c>
      <c r="F336" s="152">
        <f>SUM(F273+F324)</f>
        <v>734214.04000000015</v>
      </c>
      <c r="G336" s="152">
        <f>SUM(G273+G324)</f>
        <v>171264.03999999998</v>
      </c>
    </row>
    <row r="337" spans="1:7" x14ac:dyDescent="0.25">
      <c r="A337" s="83"/>
      <c r="B337" s="84"/>
      <c r="C337" s="85"/>
      <c r="D337" s="82"/>
      <c r="E337" s="8"/>
      <c r="F337" s="8"/>
      <c r="G337" s="8"/>
    </row>
    <row r="338" spans="1:7" ht="38.25" x14ac:dyDescent="0.25">
      <c r="A338" s="213" t="s">
        <v>25</v>
      </c>
      <c r="B338" s="214"/>
      <c r="C338" s="215"/>
      <c r="D338" s="18" t="s">
        <v>26</v>
      </c>
      <c r="E338" s="19" t="s">
        <v>158</v>
      </c>
      <c r="F338" s="19" t="s">
        <v>173</v>
      </c>
      <c r="G338" s="19" t="s">
        <v>185</v>
      </c>
    </row>
    <row r="339" spans="1:7" ht="15" customHeight="1" x14ac:dyDescent="0.25">
      <c r="A339" s="210" t="s">
        <v>98</v>
      </c>
      <c r="B339" s="211"/>
      <c r="C339" s="212"/>
      <c r="D339" s="141" t="s">
        <v>32</v>
      </c>
      <c r="E339" s="79"/>
      <c r="F339" s="79"/>
      <c r="G339" s="79"/>
    </row>
    <row r="340" spans="1:7" ht="15" customHeight="1" x14ac:dyDescent="0.25">
      <c r="A340" s="210" t="s">
        <v>174</v>
      </c>
      <c r="B340" s="211"/>
      <c r="C340" s="212"/>
      <c r="D340" s="147" t="s">
        <v>175</v>
      </c>
      <c r="E340" s="79"/>
      <c r="F340" s="79"/>
      <c r="G340" s="79"/>
    </row>
    <row r="341" spans="1:7" x14ac:dyDescent="0.25">
      <c r="A341" s="216">
        <v>52</v>
      </c>
      <c r="B341" s="217"/>
      <c r="C341" s="218"/>
      <c r="D341" s="142" t="s">
        <v>36</v>
      </c>
      <c r="E341" s="79"/>
      <c r="F341" s="79"/>
      <c r="G341" s="79"/>
    </row>
    <row r="342" spans="1:7" x14ac:dyDescent="0.25">
      <c r="A342" s="219">
        <v>3</v>
      </c>
      <c r="B342" s="220"/>
      <c r="C342" s="221"/>
      <c r="D342" s="148" t="s">
        <v>15</v>
      </c>
      <c r="E342" s="149">
        <f>SUM(E343+E352)</f>
        <v>0</v>
      </c>
      <c r="F342" s="149">
        <f>SUM(F343+F352)</f>
        <v>1439.09</v>
      </c>
      <c r="G342" s="149">
        <f>SUM(G343+G352)</f>
        <v>1439.09</v>
      </c>
    </row>
    <row r="343" spans="1:7" x14ac:dyDescent="0.25">
      <c r="A343" s="222">
        <v>31</v>
      </c>
      <c r="B343" s="223"/>
      <c r="C343" s="224"/>
      <c r="D343" s="41" t="s">
        <v>16</v>
      </c>
      <c r="E343" s="80">
        <f t="shared" ref="E343:F343" si="126">SUM(E344+E348+E350)</f>
        <v>0</v>
      </c>
      <c r="F343" s="80">
        <f t="shared" si="126"/>
        <v>1352.59</v>
      </c>
      <c r="G343" s="80">
        <f t="shared" ref="G343" si="127">SUM(G344+G348+G350)</f>
        <v>1352.59</v>
      </c>
    </row>
    <row r="344" spans="1:7" x14ac:dyDescent="0.25">
      <c r="A344" s="37">
        <v>311</v>
      </c>
      <c r="B344" s="38"/>
      <c r="C344" s="39"/>
      <c r="D344" s="40" t="s">
        <v>40</v>
      </c>
      <c r="E344" s="81">
        <f t="shared" ref="E344:F344" si="128">SUM(E345:E347)</f>
        <v>0</v>
      </c>
      <c r="F344" s="81">
        <f t="shared" si="128"/>
        <v>1100.9299999999998</v>
      </c>
      <c r="G344" s="81">
        <f t="shared" ref="G344" si="129">SUM(G345:G347)</f>
        <v>1100.9299999999998</v>
      </c>
    </row>
    <row r="345" spans="1:7" x14ac:dyDescent="0.25">
      <c r="A345" s="83">
        <v>3111</v>
      </c>
      <c r="B345" s="84"/>
      <c r="C345" s="85"/>
      <c r="D345" s="82" t="s">
        <v>52</v>
      </c>
      <c r="E345" s="79"/>
      <c r="F345" s="79">
        <f>526.5+574.43</f>
        <v>1100.9299999999998</v>
      </c>
      <c r="G345" s="165">
        <f>F345-E345</f>
        <v>1100.9299999999998</v>
      </c>
    </row>
    <row r="346" spans="1:7" x14ac:dyDescent="0.25">
      <c r="A346" s="83">
        <v>3113</v>
      </c>
      <c r="B346" s="84"/>
      <c r="C346" s="85"/>
      <c r="D346" s="82" t="s">
        <v>53</v>
      </c>
      <c r="E346" s="79"/>
      <c r="F346" s="79"/>
      <c r="G346" s="79"/>
    </row>
    <row r="347" spans="1:7" x14ac:dyDescent="0.25">
      <c r="A347" s="83">
        <v>3114</v>
      </c>
      <c r="B347" s="84"/>
      <c r="C347" s="85"/>
      <c r="D347" s="82" t="s">
        <v>54</v>
      </c>
      <c r="E347" s="79"/>
      <c r="F347" s="79"/>
      <c r="G347" s="79"/>
    </row>
    <row r="348" spans="1:7" x14ac:dyDescent="0.25">
      <c r="A348" s="37">
        <v>312</v>
      </c>
      <c r="B348" s="38"/>
      <c r="C348" s="39"/>
      <c r="D348" s="40" t="s">
        <v>55</v>
      </c>
      <c r="E348" s="81">
        <f t="shared" ref="E348:G348" si="130">SUM(E349)</f>
        <v>0</v>
      </c>
      <c r="F348" s="81">
        <f t="shared" si="130"/>
        <v>70</v>
      </c>
      <c r="G348" s="81">
        <f t="shared" si="130"/>
        <v>70</v>
      </c>
    </row>
    <row r="349" spans="1:7" x14ac:dyDescent="0.25">
      <c r="A349" s="83">
        <v>3121</v>
      </c>
      <c r="B349" s="84"/>
      <c r="C349" s="85"/>
      <c r="D349" s="82" t="s">
        <v>56</v>
      </c>
      <c r="E349" s="79"/>
      <c r="F349" s="79">
        <v>70</v>
      </c>
      <c r="G349" s="165">
        <f>F349-E349</f>
        <v>70</v>
      </c>
    </row>
    <row r="350" spans="1:7" x14ac:dyDescent="0.25">
      <c r="A350" s="37">
        <v>313</v>
      </c>
      <c r="B350" s="38"/>
      <c r="C350" s="39"/>
      <c r="D350" s="40" t="s">
        <v>41</v>
      </c>
      <c r="E350" s="81">
        <f>SUM(E351:E351)</f>
        <v>0</v>
      </c>
      <c r="F350" s="81">
        <f>SUM(F351:F351)</f>
        <v>181.66</v>
      </c>
      <c r="G350" s="81">
        <f>SUM(G351:G351)</f>
        <v>181.66</v>
      </c>
    </row>
    <row r="351" spans="1:7" ht="25.5" x14ac:dyDescent="0.25">
      <c r="A351" s="83">
        <v>3132</v>
      </c>
      <c r="B351" s="84"/>
      <c r="C351" s="85"/>
      <c r="D351" s="82" t="s">
        <v>57</v>
      </c>
      <c r="E351" s="79"/>
      <c r="F351" s="79">
        <f>86.88+94.78</f>
        <v>181.66</v>
      </c>
      <c r="G351" s="165">
        <f>F351-E351</f>
        <v>181.66</v>
      </c>
    </row>
    <row r="352" spans="1:7" x14ac:dyDescent="0.25">
      <c r="A352" s="222">
        <v>32</v>
      </c>
      <c r="B352" s="223"/>
      <c r="C352" s="224"/>
      <c r="D352" s="41" t="s">
        <v>27</v>
      </c>
      <c r="E352" s="80">
        <f t="shared" ref="E352:G352" si="131">SUM(E353)</f>
        <v>0</v>
      </c>
      <c r="F352" s="80">
        <f t="shared" si="131"/>
        <v>86.5</v>
      </c>
      <c r="G352" s="80">
        <f t="shared" si="131"/>
        <v>86.5</v>
      </c>
    </row>
    <row r="353" spans="1:7" x14ac:dyDescent="0.25">
      <c r="A353" s="37">
        <v>321</v>
      </c>
      <c r="B353" s="38"/>
      <c r="C353" s="39"/>
      <c r="D353" s="40" t="s">
        <v>42</v>
      </c>
      <c r="E353" s="81">
        <f t="shared" ref="E353:F353" si="132">SUM(E354:E357)</f>
        <v>0</v>
      </c>
      <c r="F353" s="81">
        <f t="shared" si="132"/>
        <v>86.5</v>
      </c>
      <c r="G353" s="81">
        <f t="shared" ref="G353" si="133">SUM(G354:G357)</f>
        <v>86.5</v>
      </c>
    </row>
    <row r="354" spans="1:7" x14ac:dyDescent="0.25">
      <c r="A354" s="83">
        <v>3211</v>
      </c>
      <c r="B354" s="84"/>
      <c r="C354" s="85"/>
      <c r="D354" s="82" t="s">
        <v>58</v>
      </c>
      <c r="E354" s="79"/>
      <c r="F354" s="79"/>
      <c r="G354" s="79"/>
    </row>
    <row r="355" spans="1:7" ht="25.5" x14ac:dyDescent="0.25">
      <c r="A355" s="83">
        <v>3212</v>
      </c>
      <c r="B355" s="84"/>
      <c r="C355" s="85"/>
      <c r="D355" s="82" t="s">
        <v>126</v>
      </c>
      <c r="E355" s="79"/>
      <c r="F355" s="79">
        <f>47.5+39</f>
        <v>86.5</v>
      </c>
      <c r="G355" s="165">
        <f>F355-E355</f>
        <v>86.5</v>
      </c>
    </row>
    <row r="356" spans="1:7" x14ac:dyDescent="0.25">
      <c r="A356" s="83">
        <v>3213</v>
      </c>
      <c r="B356" s="84"/>
      <c r="C356" s="85"/>
      <c r="D356" s="82" t="s">
        <v>60</v>
      </c>
      <c r="E356" s="79"/>
      <c r="F356" s="79"/>
      <c r="G356" s="79"/>
    </row>
    <row r="357" spans="1:7" ht="25.5" x14ac:dyDescent="0.25">
      <c r="A357" s="83">
        <v>3214</v>
      </c>
      <c r="B357" s="84"/>
      <c r="C357" s="85"/>
      <c r="D357" s="82" t="s">
        <v>61</v>
      </c>
      <c r="E357" s="79"/>
      <c r="F357" s="79"/>
      <c r="G357" s="79"/>
    </row>
    <row r="358" spans="1:7" x14ac:dyDescent="0.25">
      <c r="A358" s="83"/>
      <c r="B358" s="84"/>
      <c r="C358" s="85"/>
      <c r="D358" s="150" t="s">
        <v>97</v>
      </c>
      <c r="E358" s="153">
        <f t="shared" ref="E358:F358" si="134">SUM(E342)</f>
        <v>0</v>
      </c>
      <c r="F358" s="153">
        <f t="shared" si="134"/>
        <v>1439.09</v>
      </c>
      <c r="G358" s="153">
        <f t="shared" ref="G358" si="135">SUM(G342)</f>
        <v>1439.09</v>
      </c>
    </row>
  </sheetData>
  <mergeCells count="68">
    <mergeCell ref="A238:C238"/>
    <mergeCell ref="A239:C239"/>
    <mergeCell ref="A48:C48"/>
    <mergeCell ref="A49:C49"/>
    <mergeCell ref="A50:C50"/>
    <mergeCell ref="A51:C51"/>
    <mergeCell ref="A108:C108"/>
    <mergeCell ref="A122:C122"/>
    <mergeCell ref="A109:C109"/>
    <mergeCell ref="A110:C110"/>
    <mergeCell ref="A111:C111"/>
    <mergeCell ref="A112:C112"/>
    <mergeCell ref="A113:C113"/>
    <mergeCell ref="A59:C59"/>
    <mergeCell ref="A73:C73"/>
    <mergeCell ref="A60:C60"/>
    <mergeCell ref="A342:C342"/>
    <mergeCell ref="A343:C343"/>
    <mergeCell ref="A352:C352"/>
    <mergeCell ref="A64:C64"/>
    <mergeCell ref="A40:C40"/>
    <mergeCell ref="A338:C338"/>
    <mergeCell ref="A339:C339"/>
    <mergeCell ref="A340:C340"/>
    <mergeCell ref="A341:C341"/>
    <mergeCell ref="A178:C178"/>
    <mergeCell ref="A246:C246"/>
    <mergeCell ref="A269:C269"/>
    <mergeCell ref="A283:C283"/>
    <mergeCell ref="A270:C270"/>
    <mergeCell ref="A271:C271"/>
    <mergeCell ref="A272:C272"/>
    <mergeCell ref="A273:C273"/>
    <mergeCell ref="A274:C274"/>
    <mergeCell ref="A260:C260"/>
    <mergeCell ref="A192:C192"/>
    <mergeCell ref="A179:C179"/>
    <mergeCell ref="A180:C180"/>
    <mergeCell ref="A181:C181"/>
    <mergeCell ref="A182:C182"/>
    <mergeCell ref="A183:C183"/>
    <mergeCell ref="A247:C247"/>
    <mergeCell ref="A248:C248"/>
    <mergeCell ref="A249:C249"/>
    <mergeCell ref="A250:C250"/>
    <mergeCell ref="A251:C251"/>
    <mergeCell ref="A236:C236"/>
    <mergeCell ref="A237:C237"/>
    <mergeCell ref="A61:C61"/>
    <mergeCell ref="A62:C62"/>
    <mergeCell ref="A63:C63"/>
    <mergeCell ref="A29:C29"/>
    <mergeCell ref="A30:C30"/>
    <mergeCell ref="A31:C31"/>
    <mergeCell ref="A52:C52"/>
    <mergeCell ref="A53:C53"/>
    <mergeCell ref="A1:G1"/>
    <mergeCell ref="A28:C28"/>
    <mergeCell ref="A4:C4"/>
    <mergeCell ref="A5:C5"/>
    <mergeCell ref="A6:C6"/>
    <mergeCell ref="A7:C7"/>
    <mergeCell ref="A8:C8"/>
    <mergeCell ref="A3:F3"/>
    <mergeCell ref="A9:C9"/>
    <mergeCell ref="A18:C18"/>
    <mergeCell ref="A26:C26"/>
    <mergeCell ref="A27:C27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SAŽETAK2024</vt:lpstr>
      <vt:lpstr> Račun prihoda i rashoda</vt:lpstr>
      <vt:lpstr>Prihodi i rashodi po izvorima</vt:lpstr>
      <vt:lpstr>Rashodi prema funkcijskoj kl</vt:lpstr>
      <vt:lpstr>Račun financiranja</vt:lpstr>
      <vt:lpstr>Račun financiranja po izvorima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OŠ Vratišinec - tajnica</cp:lastModifiedBy>
  <cp:lastPrinted>2024-11-21T12:47:36Z</cp:lastPrinted>
  <dcterms:created xsi:type="dcterms:W3CDTF">2022-08-12T12:51:27Z</dcterms:created>
  <dcterms:modified xsi:type="dcterms:W3CDTF">2024-12-12T11:00:30Z</dcterms:modified>
</cp:coreProperties>
</file>