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Š V. Ž. - tajnica\Desktop\TAJA\financijski planovi i periodični\plan i obračuni 2025\"/>
    </mc:Choice>
  </mc:AlternateContent>
  <bookViews>
    <workbookView xWindow="0" yWindow="0" windowWidth="21600" windowHeight="9330" tabRatio="907" activeTab="6"/>
  </bookViews>
  <sheets>
    <sheet name="SAŽETAK" sheetId="8" r:id="rId1"/>
    <sheet name=" Račun prihoda i rashoda" sheetId="3" r:id="rId2"/>
    <sheet name="Prihodi i rashodi po izvorima" sheetId="9" r:id="rId3"/>
    <sheet name="Rashodi prema funkcijskoj kl" sheetId="5" r:id="rId4"/>
    <sheet name="Račun financiranja" sheetId="6" r:id="rId5"/>
    <sheet name="Račun financiranja po izvorima " sheetId="10" r:id="rId6"/>
    <sheet name="POSEBNI DIO" sheetId="7" r:id="rId7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9" i="7" l="1"/>
  <c r="H299" i="7"/>
  <c r="I295" i="7"/>
  <c r="H295" i="7"/>
  <c r="G295" i="7"/>
  <c r="G306" i="7"/>
  <c r="I34" i="7"/>
  <c r="G374" i="7"/>
  <c r="G373" i="7" s="1"/>
  <c r="I374" i="7"/>
  <c r="I373" i="7" s="1"/>
  <c r="H374" i="7"/>
  <c r="H373" i="7" s="1"/>
  <c r="F374" i="7"/>
  <c r="F373" i="7" s="1"/>
  <c r="E374" i="7"/>
  <c r="E373" i="7"/>
  <c r="I370" i="7"/>
  <c r="H370" i="7"/>
  <c r="G370" i="7"/>
  <c r="F370" i="7"/>
  <c r="E370" i="7"/>
  <c r="I368" i="7"/>
  <c r="H368" i="7"/>
  <c r="G368" i="7"/>
  <c r="F368" i="7"/>
  <c r="E368" i="7"/>
  <c r="I364" i="7"/>
  <c r="I363" i="7" s="1"/>
  <c r="H364" i="7"/>
  <c r="G364" i="7"/>
  <c r="F364" i="7"/>
  <c r="F363" i="7" s="1"/>
  <c r="E364" i="7"/>
  <c r="E363" i="7" s="1"/>
  <c r="E362" i="7" s="1"/>
  <c r="E379" i="7" s="1"/>
  <c r="G44" i="7"/>
  <c r="G43" i="7" s="1"/>
  <c r="I44" i="7"/>
  <c r="I43" i="7" s="1"/>
  <c r="H44" i="7"/>
  <c r="H43" i="7" s="1"/>
  <c r="F44" i="7"/>
  <c r="E44" i="7"/>
  <c r="F43" i="7"/>
  <c r="E43" i="7"/>
  <c r="I40" i="7"/>
  <c r="H40" i="7"/>
  <c r="G40" i="7"/>
  <c r="F40" i="7"/>
  <c r="E40" i="7"/>
  <c r="I38" i="7"/>
  <c r="H38" i="7"/>
  <c r="G38" i="7"/>
  <c r="F38" i="7"/>
  <c r="E38" i="7"/>
  <c r="H34" i="7"/>
  <c r="G34" i="7"/>
  <c r="F34" i="7"/>
  <c r="F33" i="7" s="1"/>
  <c r="F32" i="7" s="1"/>
  <c r="F49" i="7" s="1"/>
  <c r="E34" i="7"/>
  <c r="E33" i="7" s="1"/>
  <c r="E32" i="7" s="1"/>
  <c r="E49" i="7" s="1"/>
  <c r="G363" i="7" l="1"/>
  <c r="G362" i="7"/>
  <c r="G379" i="7" s="1"/>
  <c r="H33" i="7"/>
  <c r="H32" i="7" s="1"/>
  <c r="H49" i="7" s="1"/>
  <c r="I33" i="7"/>
  <c r="I32" i="7" s="1"/>
  <c r="I49" i="7" s="1"/>
  <c r="I362" i="7"/>
  <c r="I379" i="7" s="1"/>
  <c r="H363" i="7"/>
  <c r="H362" i="7" s="1"/>
  <c r="H379" i="7" s="1"/>
  <c r="G33" i="7"/>
  <c r="G32" i="7" s="1"/>
  <c r="G49" i="7" s="1"/>
  <c r="F362" i="7"/>
  <c r="F379" i="7" s="1"/>
  <c r="F12" i="5"/>
  <c r="E12" i="5"/>
  <c r="D12" i="5"/>
  <c r="H117" i="3"/>
  <c r="I117" i="3" l="1"/>
  <c r="G117" i="3"/>
  <c r="H107" i="3"/>
  <c r="I107" i="3"/>
  <c r="G107" i="3"/>
  <c r="I104" i="3"/>
  <c r="H104" i="3"/>
  <c r="G104" i="3"/>
  <c r="H99" i="3"/>
  <c r="I99" i="3"/>
  <c r="G99" i="3"/>
  <c r="H95" i="3"/>
  <c r="G95" i="3"/>
  <c r="H51" i="3"/>
  <c r="I51" i="3"/>
  <c r="G51" i="3"/>
  <c r="G223" i="7"/>
  <c r="H223" i="7"/>
  <c r="I223" i="7"/>
  <c r="G205" i="7"/>
  <c r="H205" i="7"/>
  <c r="I205" i="7"/>
  <c r="G210" i="7"/>
  <c r="H210" i="7"/>
  <c r="I210" i="7"/>
  <c r="G213" i="7"/>
  <c r="H213" i="7"/>
  <c r="I213" i="7"/>
  <c r="G197" i="7"/>
  <c r="H197" i="7"/>
  <c r="I197" i="7"/>
  <c r="G201" i="7"/>
  <c r="H201" i="7"/>
  <c r="I201" i="7"/>
  <c r="G192" i="7"/>
  <c r="H192" i="7"/>
  <c r="I192" i="7"/>
  <c r="C12" i="5" l="1"/>
  <c r="B12" i="5"/>
  <c r="B13" i="5"/>
  <c r="G125" i="3" l="1"/>
  <c r="H306" i="7" l="1"/>
  <c r="I306" i="7"/>
  <c r="H17" i="7"/>
  <c r="F102" i="7"/>
  <c r="G102" i="7"/>
  <c r="H102" i="7"/>
  <c r="I102" i="7"/>
  <c r="A1" i="8" l="1"/>
  <c r="F36" i="9"/>
  <c r="F34" i="9" s="1"/>
  <c r="E36" i="9"/>
  <c r="D36" i="9"/>
  <c r="D34" i="9" s="1"/>
  <c r="F31" i="9"/>
  <c r="E35" i="9"/>
  <c r="D35" i="9"/>
  <c r="E34" i="9"/>
  <c r="D31" i="9"/>
  <c r="E31" i="9"/>
  <c r="D29" i="9"/>
  <c r="E29" i="9"/>
  <c r="F29" i="9"/>
  <c r="D18" i="9" l="1"/>
  <c r="E18" i="9"/>
  <c r="F18" i="9"/>
  <c r="D15" i="9"/>
  <c r="E15" i="9"/>
  <c r="F15" i="9"/>
  <c r="H137" i="3" l="1"/>
  <c r="H87" i="3"/>
  <c r="I70" i="3"/>
  <c r="I77" i="3"/>
  <c r="H77" i="3"/>
  <c r="H70" i="3"/>
  <c r="G26" i="3"/>
  <c r="G16" i="3"/>
  <c r="H16" i="3" s="1"/>
  <c r="G123" i="3" l="1"/>
  <c r="G160" i="3"/>
  <c r="G83" i="3"/>
  <c r="G77" i="3" l="1"/>
  <c r="G70" i="3"/>
  <c r="G87" i="3"/>
  <c r="G74" i="3"/>
  <c r="F353" i="7" l="1"/>
  <c r="F346" i="7"/>
  <c r="F344" i="7" s="1"/>
  <c r="F345" i="7"/>
  <c r="F341" i="7"/>
  <c r="F340" i="7"/>
  <c r="F337" i="7"/>
  <c r="F336" i="7" s="1"/>
  <c r="F328" i="7"/>
  <c r="F317" i="7"/>
  <c r="F309" i="7"/>
  <c r="F303" i="7" s="1"/>
  <c r="F304" i="7"/>
  <c r="F300" i="7"/>
  <c r="F298" i="7"/>
  <c r="F293" i="7" s="1"/>
  <c r="F292" i="7" s="1"/>
  <c r="F356" i="7" s="1"/>
  <c r="F294" i="7"/>
  <c r="F275" i="7"/>
  <c r="F267" i="7"/>
  <c r="F262" i="7"/>
  <c r="F261" i="7"/>
  <c r="F258" i="7"/>
  <c r="F256" i="7"/>
  <c r="F252" i="7"/>
  <c r="F251" i="7"/>
  <c r="F250" i="7" s="1"/>
  <c r="F285" i="7" s="1"/>
  <c r="F241" i="7"/>
  <c r="F234" i="7"/>
  <c r="F233" i="7" s="1"/>
  <c r="F232" i="7" s="1"/>
  <c r="F228" i="7"/>
  <c r="F225" i="7"/>
  <c r="F224" i="7" s="1"/>
  <c r="F223" i="7"/>
  <c r="F216" i="7"/>
  <c r="F213" i="7"/>
  <c r="F204" i="7" s="1"/>
  <c r="F210" i="7"/>
  <c r="F205" i="7"/>
  <c r="F201" i="7"/>
  <c r="F196" i="7" s="1"/>
  <c r="F197" i="7"/>
  <c r="F192" i="7"/>
  <c r="F191" i="7"/>
  <c r="F187" i="7"/>
  <c r="F185" i="7"/>
  <c r="F181" i="7"/>
  <c r="F180" i="7" s="1"/>
  <c r="F170" i="7"/>
  <c r="F162" i="7" s="1"/>
  <c r="F161" i="7" s="1"/>
  <c r="F163" i="7"/>
  <c r="F157" i="7"/>
  <c r="F154" i="7"/>
  <c r="F153" i="7"/>
  <c r="F145" i="7"/>
  <c r="F133" i="7"/>
  <c r="F119" i="7" s="1"/>
  <c r="F125" i="7"/>
  <c r="F120" i="7"/>
  <c r="F116" i="7"/>
  <c r="F109" i="7" s="1"/>
  <c r="F114" i="7"/>
  <c r="F110" i="7"/>
  <c r="F99" i="7"/>
  <c r="F92" i="7"/>
  <c r="F91" i="7"/>
  <c r="F90" i="7" s="1"/>
  <c r="F80" i="7"/>
  <c r="F70" i="7"/>
  <c r="F56" i="7" s="1"/>
  <c r="F55" i="7" s="1"/>
  <c r="F89" i="7" s="1"/>
  <c r="F62" i="7"/>
  <c r="F57" i="7"/>
  <c r="F21" i="7"/>
  <c r="F20" i="7"/>
  <c r="F17" i="7"/>
  <c r="F10" i="7" s="1"/>
  <c r="F9" i="7" s="1"/>
  <c r="F26" i="7" s="1"/>
  <c r="F15" i="7"/>
  <c r="F11" i="7"/>
  <c r="C11" i="5"/>
  <c r="C10" i="5" s="1"/>
  <c r="C34" i="9"/>
  <c r="C31" i="9"/>
  <c r="C29" i="9"/>
  <c r="C27" i="9"/>
  <c r="C18" i="9"/>
  <c r="C15" i="9"/>
  <c r="C13" i="9"/>
  <c r="C11" i="9"/>
  <c r="F154" i="3"/>
  <c r="F153" i="3"/>
  <c r="F146" i="3"/>
  <c r="F145" i="3" s="1"/>
  <c r="F144" i="3" s="1"/>
  <c r="F143" i="3"/>
  <c r="F135" i="3"/>
  <c r="F134" i="3" s="1"/>
  <c r="F125" i="3"/>
  <c r="F124" i="3" s="1"/>
  <c r="F122" i="3"/>
  <c r="F110" i="3"/>
  <c r="F108" i="3"/>
  <c r="F107" i="3"/>
  <c r="F98" i="3"/>
  <c r="F90" i="3"/>
  <c r="F85" i="3"/>
  <c r="F84" i="3" s="1"/>
  <c r="F75" i="3"/>
  <c r="F73" i="3"/>
  <c r="F70" i="3"/>
  <c r="F69" i="3" s="1"/>
  <c r="F68" i="3" s="1"/>
  <c r="F55" i="3"/>
  <c r="F50" i="3"/>
  <c r="F49" i="3" s="1"/>
  <c r="F44" i="3"/>
  <c r="F40" i="3"/>
  <c r="F37" i="3"/>
  <c r="F36" i="3" s="1"/>
  <c r="F34" i="3"/>
  <c r="F28" i="3"/>
  <c r="F27" i="3"/>
  <c r="F24" i="3"/>
  <c r="F18" i="3"/>
  <c r="F15" i="3"/>
  <c r="F11" i="3" s="1"/>
  <c r="F12" i="3"/>
  <c r="F26" i="3" s="1"/>
  <c r="F67" i="3" l="1"/>
  <c r="F161" i="3" s="1"/>
  <c r="F108" i="7"/>
  <c r="F173" i="7" s="1"/>
  <c r="F190" i="7"/>
  <c r="F179" i="7" s="1"/>
  <c r="F244" i="7" s="1"/>
  <c r="F59" i="3"/>
  <c r="F10" i="3"/>
  <c r="E341" i="7"/>
  <c r="E340" i="7"/>
  <c r="E345" i="7"/>
  <c r="E344" i="7" s="1"/>
  <c r="E102" i="7"/>
  <c r="I99" i="7"/>
  <c r="I91" i="7" s="1"/>
  <c r="I90" i="7" s="1"/>
  <c r="H99" i="7"/>
  <c r="G99" i="7"/>
  <c r="E99" i="7"/>
  <c r="E91" i="7" s="1"/>
  <c r="E90" i="7" s="1"/>
  <c r="I92" i="7"/>
  <c r="H92" i="7"/>
  <c r="H91" i="7" s="1"/>
  <c r="H90" i="7" s="1"/>
  <c r="G92" i="7"/>
  <c r="E92" i="7"/>
  <c r="G91" i="7"/>
  <c r="G90" i="7" s="1"/>
  <c r="B36" i="9"/>
  <c r="B32" i="9"/>
  <c r="B33" i="9"/>
  <c r="B30" i="9"/>
  <c r="E298" i="7" l="1"/>
  <c r="I80" i="7"/>
  <c r="H80" i="7"/>
  <c r="G80" i="7"/>
  <c r="E80" i="7"/>
  <c r="B34" i="9" l="1"/>
  <c r="B31" i="9"/>
  <c r="B29" i="9"/>
  <c r="F27" i="9"/>
  <c r="F26" i="9" s="1"/>
  <c r="E27" i="9"/>
  <c r="D27" i="9"/>
  <c r="B27" i="9"/>
  <c r="F13" i="9"/>
  <c r="E13" i="9"/>
  <c r="D13" i="9"/>
  <c r="F11" i="9"/>
  <c r="E11" i="9"/>
  <c r="D11" i="9"/>
  <c r="B11" i="9"/>
  <c r="B13" i="9"/>
  <c r="B15" i="9"/>
  <c r="B18" i="9"/>
  <c r="F10" i="9" l="1"/>
  <c r="E10" i="9"/>
  <c r="B10" i="9"/>
  <c r="D26" i="9"/>
  <c r="E26" i="9"/>
  <c r="D10" i="9"/>
  <c r="C26" i="9"/>
  <c r="C10" i="9"/>
  <c r="B26" i="9"/>
  <c r="I153" i="3" l="1"/>
  <c r="I146" i="3"/>
  <c r="I143" i="3"/>
  <c r="I135" i="3"/>
  <c r="I134" i="3" s="1"/>
  <c r="I125" i="3"/>
  <c r="I124" i="3" s="1"/>
  <c r="I110" i="3"/>
  <c r="I108" i="3"/>
  <c r="I98" i="3"/>
  <c r="I90" i="3"/>
  <c r="I85" i="3"/>
  <c r="I75" i="3"/>
  <c r="I68" i="3" s="1"/>
  <c r="I73" i="3"/>
  <c r="I69" i="3"/>
  <c r="I50" i="3"/>
  <c r="I49" i="3" s="1"/>
  <c r="I40" i="3"/>
  <c r="I37" i="3"/>
  <c r="I34" i="3"/>
  <c r="I28" i="3"/>
  <c r="I27" i="3" s="1"/>
  <c r="I24" i="3"/>
  <c r="I18" i="3"/>
  <c r="I15" i="3"/>
  <c r="I12" i="3"/>
  <c r="I145" i="3" l="1"/>
  <c r="I144" i="3" s="1"/>
  <c r="I84" i="3"/>
  <c r="I67" i="3" s="1"/>
  <c r="I161" i="3" s="1"/>
  <c r="I26" i="3"/>
  <c r="I36" i="3"/>
  <c r="I11" i="3"/>
  <c r="F8" i="8"/>
  <c r="G8" i="8"/>
  <c r="H8" i="8"/>
  <c r="I8" i="8"/>
  <c r="J8" i="8"/>
  <c r="F11" i="8"/>
  <c r="G11" i="8"/>
  <c r="H11" i="8"/>
  <c r="I11" i="8"/>
  <c r="J11" i="8"/>
  <c r="F21" i="8"/>
  <c r="G21" i="8"/>
  <c r="H21" i="8"/>
  <c r="I21" i="8"/>
  <c r="J21" i="8"/>
  <c r="F37" i="8"/>
  <c r="G34" i="8" s="1"/>
  <c r="G37" i="8" s="1"/>
  <c r="H34" i="8" s="1"/>
  <c r="I34" i="8" s="1"/>
  <c r="I37" i="8" l="1"/>
  <c r="J34" i="8" s="1"/>
  <c r="J37" i="8" s="1"/>
  <c r="I14" i="8"/>
  <c r="I29" i="8" s="1"/>
  <c r="J14" i="8"/>
  <c r="J22" i="8" s="1"/>
  <c r="J29" i="8" s="1"/>
  <c r="H14" i="8"/>
  <c r="H22" i="8" s="1"/>
  <c r="H28" i="8" s="1"/>
  <c r="I59" i="3"/>
  <c r="I10" i="3"/>
  <c r="G14" i="8"/>
  <c r="G22" i="8" s="1"/>
  <c r="G28" i="8" s="1"/>
  <c r="G29" i="8" s="1"/>
  <c r="F14" i="8"/>
  <c r="F22" i="8" s="1"/>
  <c r="F28" i="8" s="1"/>
  <c r="F29" i="8" s="1"/>
  <c r="H341" i="7"/>
  <c r="I341" i="7"/>
  <c r="G341" i="7"/>
  <c r="I22" i="8" l="1"/>
  <c r="G24" i="3"/>
  <c r="H24" i="3"/>
  <c r="G44" i="3"/>
  <c r="H44" i="3"/>
  <c r="G34" i="3"/>
  <c r="H34" i="3"/>
  <c r="H12" i="3"/>
  <c r="G12" i="3"/>
  <c r="E34" i="3" l="1"/>
  <c r="E24" i="3"/>
  <c r="E44" i="3"/>
  <c r="E143" i="3"/>
  <c r="G143" i="3"/>
  <c r="H143" i="3"/>
  <c r="E309" i="7" l="1"/>
  <c r="E300" i="7"/>
  <c r="I353" i="7"/>
  <c r="H353" i="7"/>
  <c r="G353" i="7"/>
  <c r="E353" i="7"/>
  <c r="I346" i="7"/>
  <c r="H346" i="7"/>
  <c r="G346" i="7"/>
  <c r="E346" i="7"/>
  <c r="I337" i="7"/>
  <c r="I336" i="7" s="1"/>
  <c r="H337" i="7"/>
  <c r="H336" i="7" s="1"/>
  <c r="G337" i="7"/>
  <c r="G336" i="7" s="1"/>
  <c r="E337" i="7"/>
  <c r="E336" i="7" s="1"/>
  <c r="I328" i="7"/>
  <c r="H328" i="7"/>
  <c r="G328" i="7"/>
  <c r="E328" i="7"/>
  <c r="I317" i="7"/>
  <c r="H317" i="7"/>
  <c r="G317" i="7"/>
  <c r="E317" i="7"/>
  <c r="I309" i="7"/>
  <c r="H309" i="7"/>
  <c r="G309" i="7"/>
  <c r="I304" i="7"/>
  <c r="H304" i="7"/>
  <c r="G304" i="7"/>
  <c r="E304" i="7"/>
  <c r="I300" i="7"/>
  <c r="H300" i="7"/>
  <c r="G300" i="7"/>
  <c r="I298" i="7"/>
  <c r="H298" i="7"/>
  <c r="G298" i="7"/>
  <c r="I294" i="7"/>
  <c r="H294" i="7"/>
  <c r="G294" i="7"/>
  <c r="E294" i="7"/>
  <c r="E267" i="7"/>
  <c r="I275" i="7"/>
  <c r="H275" i="7"/>
  <c r="G275" i="7"/>
  <c r="E275" i="7"/>
  <c r="I267" i="7"/>
  <c r="H267" i="7"/>
  <c r="G267" i="7"/>
  <c r="I262" i="7"/>
  <c r="I261" i="7" s="1"/>
  <c r="H262" i="7"/>
  <c r="G262" i="7"/>
  <c r="E262" i="7"/>
  <c r="I258" i="7"/>
  <c r="H258" i="7"/>
  <c r="G258" i="7"/>
  <c r="E258" i="7"/>
  <c r="I256" i="7"/>
  <c r="H256" i="7"/>
  <c r="G256" i="7"/>
  <c r="E256" i="7"/>
  <c r="I252" i="7"/>
  <c r="H252" i="7"/>
  <c r="G252" i="7"/>
  <c r="E252" i="7"/>
  <c r="E241" i="7"/>
  <c r="H241" i="7"/>
  <c r="G241" i="7"/>
  <c r="I234" i="7"/>
  <c r="I233" i="7" s="1"/>
  <c r="H234" i="7"/>
  <c r="G234" i="7"/>
  <c r="E234" i="7"/>
  <c r="I228" i="7"/>
  <c r="H228" i="7"/>
  <c r="G228" i="7"/>
  <c r="E228" i="7"/>
  <c r="I225" i="7"/>
  <c r="I224" i="7" s="1"/>
  <c r="H225" i="7"/>
  <c r="H224" i="7" s="1"/>
  <c r="G225" i="7"/>
  <c r="G224" i="7" s="1"/>
  <c r="E225" i="7"/>
  <c r="E224" i="7" s="1"/>
  <c r="I216" i="7"/>
  <c r="H216" i="7"/>
  <c r="G216" i="7"/>
  <c r="I204" i="7"/>
  <c r="H204" i="7"/>
  <c r="G204" i="7"/>
  <c r="I196" i="7"/>
  <c r="H196" i="7"/>
  <c r="G196" i="7"/>
  <c r="I191" i="7"/>
  <c r="H191" i="7"/>
  <c r="G191" i="7"/>
  <c r="I187" i="7"/>
  <c r="H187" i="7"/>
  <c r="G187" i="7"/>
  <c r="E187" i="7"/>
  <c r="I185" i="7"/>
  <c r="H185" i="7"/>
  <c r="G185" i="7"/>
  <c r="E185" i="7"/>
  <c r="I181" i="7"/>
  <c r="H181" i="7"/>
  <c r="G181" i="7"/>
  <c r="I116" i="7"/>
  <c r="H116" i="7"/>
  <c r="G116" i="7"/>
  <c r="E116" i="7"/>
  <c r="G293" i="7" l="1"/>
  <c r="H261" i="7"/>
  <c r="G303" i="7"/>
  <c r="G261" i="7"/>
  <c r="G340" i="7"/>
  <c r="G344" i="7"/>
  <c r="G345" i="7"/>
  <c r="H345" i="7"/>
  <c r="H344" i="7" s="1"/>
  <c r="H340" i="7" s="1"/>
  <c r="G190" i="7"/>
  <c r="I345" i="7"/>
  <c r="I344" i="7" s="1"/>
  <c r="I340" i="7" s="1"/>
  <c r="E261" i="7"/>
  <c r="I293" i="7"/>
  <c r="I303" i="7"/>
  <c r="I180" i="7"/>
  <c r="H180" i="7"/>
  <c r="H233" i="7"/>
  <c r="H232" i="7" s="1"/>
  <c r="G251" i="7"/>
  <c r="I251" i="7"/>
  <c r="I250" i="7" s="1"/>
  <c r="I285" i="7" s="1"/>
  <c r="E293" i="7"/>
  <c r="H293" i="7"/>
  <c r="E303" i="7"/>
  <c r="H303" i="7"/>
  <c r="G180" i="7"/>
  <c r="E191" i="7"/>
  <c r="E216" i="7"/>
  <c r="I232" i="7"/>
  <c r="H190" i="7"/>
  <c r="G233" i="7"/>
  <c r="G232" i="7" s="1"/>
  <c r="E181" i="7"/>
  <c r="E180" i="7" s="1"/>
  <c r="I190" i="7"/>
  <c r="E233" i="7"/>
  <c r="E232" i="7" s="1"/>
  <c r="E204" i="7"/>
  <c r="E251" i="7"/>
  <c r="H251" i="7"/>
  <c r="E196" i="7"/>
  <c r="G292" i="7" l="1"/>
  <c r="G356" i="7" s="1"/>
  <c r="H250" i="7"/>
  <c r="H285" i="7" s="1"/>
  <c r="G250" i="7"/>
  <c r="G285" i="7" s="1"/>
  <c r="E250" i="7"/>
  <c r="E285" i="7" s="1"/>
  <c r="I292" i="7"/>
  <c r="I356" i="7" s="1"/>
  <c r="I179" i="7"/>
  <c r="I244" i="7" s="1"/>
  <c r="G179" i="7"/>
  <c r="G244" i="7" s="1"/>
  <c r="H179" i="7"/>
  <c r="H244" i="7" s="1"/>
  <c r="E190" i="7"/>
  <c r="E179" i="7" s="1"/>
  <c r="E244" i="7" s="1"/>
  <c r="H292" i="7"/>
  <c r="H356" i="7" s="1"/>
  <c r="E292" i="7"/>
  <c r="E356" i="7" s="1"/>
  <c r="I21" i="7"/>
  <c r="I20" i="7" s="1"/>
  <c r="I17" i="7"/>
  <c r="I15" i="7"/>
  <c r="I11" i="7"/>
  <c r="H21" i="7"/>
  <c r="H20" i="7" s="1"/>
  <c r="H15" i="7"/>
  <c r="H11" i="7"/>
  <c r="G21" i="7"/>
  <c r="G20" i="7" s="1"/>
  <c r="G17" i="7"/>
  <c r="G15" i="7"/>
  <c r="G11" i="7"/>
  <c r="E17" i="7"/>
  <c r="H50" i="3"/>
  <c r="H49" i="3" s="1"/>
  <c r="G50" i="3"/>
  <c r="G49" i="3" s="1"/>
  <c r="E50" i="3"/>
  <c r="E49" i="3" s="1"/>
  <c r="E59" i="3" s="1"/>
  <c r="H18" i="3"/>
  <c r="H15" i="3"/>
  <c r="H26" i="3" s="1"/>
  <c r="G18" i="3"/>
  <c r="G15" i="3"/>
  <c r="H28" i="3"/>
  <c r="H27" i="3" s="1"/>
  <c r="G28" i="3"/>
  <c r="G27" i="3" s="1"/>
  <c r="H40" i="3"/>
  <c r="H37" i="3"/>
  <c r="G40" i="3"/>
  <c r="G37" i="3"/>
  <c r="E40" i="3"/>
  <c r="E37" i="3"/>
  <c r="E18" i="3"/>
  <c r="E28" i="3"/>
  <c r="E27" i="3" s="1"/>
  <c r="E15" i="3"/>
  <c r="H11" i="3" l="1"/>
  <c r="G11" i="3"/>
  <c r="G36" i="3"/>
  <c r="H10" i="7"/>
  <c r="H9" i="7" s="1"/>
  <c r="H26" i="7" s="1"/>
  <c r="I10" i="7"/>
  <c r="I9" i="7" s="1"/>
  <c r="I26" i="7" s="1"/>
  <c r="G10" i="7"/>
  <c r="G9" i="7" s="1"/>
  <c r="G26" i="7" s="1"/>
  <c r="H36" i="3"/>
  <c r="E36" i="3"/>
  <c r="H75" i="3"/>
  <c r="G75" i="3"/>
  <c r="E75" i="3"/>
  <c r="H73" i="3"/>
  <c r="G73" i="3"/>
  <c r="E73" i="3"/>
  <c r="H69" i="3"/>
  <c r="G69" i="3"/>
  <c r="E69" i="3"/>
  <c r="H153" i="3"/>
  <c r="G153" i="3"/>
  <c r="E153" i="3"/>
  <c r="H135" i="3"/>
  <c r="H134" i="3" s="1"/>
  <c r="G135" i="3"/>
  <c r="G134" i="3" s="1"/>
  <c r="E135" i="3"/>
  <c r="E134" i="3" s="1"/>
  <c r="H110" i="3"/>
  <c r="G110" i="3"/>
  <c r="H108" i="3"/>
  <c r="G108" i="3"/>
  <c r="H125" i="3"/>
  <c r="H124" i="3" s="1"/>
  <c r="G124" i="3"/>
  <c r="E125" i="3"/>
  <c r="E124" i="3" s="1"/>
  <c r="E110" i="3"/>
  <c r="E108" i="3"/>
  <c r="G68" i="3" l="1"/>
  <c r="H10" i="3"/>
  <c r="G10" i="3"/>
  <c r="G59" i="3"/>
  <c r="H59" i="3"/>
  <c r="H68" i="3"/>
  <c r="E68" i="3"/>
  <c r="E98" i="3"/>
  <c r="G98" i="3"/>
  <c r="H98" i="3"/>
  <c r="E90" i="3"/>
  <c r="G90" i="3"/>
  <c r="H90" i="3"/>
  <c r="H146" i="3"/>
  <c r="H145" i="3" s="1"/>
  <c r="H144" i="3" s="1"/>
  <c r="G146" i="3"/>
  <c r="G145" i="3" s="1"/>
  <c r="G144" i="3" s="1"/>
  <c r="E146" i="3"/>
  <c r="E145" i="3" s="1"/>
  <c r="E144" i="3" s="1"/>
  <c r="H85" i="3"/>
  <c r="G85" i="3"/>
  <c r="E85" i="3"/>
  <c r="F11" i="5"/>
  <c r="F10" i="5" s="1"/>
  <c r="E11" i="5"/>
  <c r="E10" i="5" s="1"/>
  <c r="D11" i="5"/>
  <c r="D10" i="5" s="1"/>
  <c r="B11" i="5"/>
  <c r="B10" i="5" s="1"/>
  <c r="G84" i="3" l="1"/>
  <c r="G67" i="3" s="1"/>
  <c r="H84" i="3"/>
  <c r="H67" i="3" s="1"/>
  <c r="H161" i="3" s="1"/>
  <c r="E84" i="3"/>
  <c r="E67" i="3" s="1"/>
  <c r="E161" i="3" s="1"/>
  <c r="I170" i="7"/>
  <c r="H170" i="7"/>
  <c r="G170" i="7"/>
  <c r="E170" i="7"/>
  <c r="I163" i="7"/>
  <c r="H163" i="7"/>
  <c r="G163" i="7"/>
  <c r="E163" i="7"/>
  <c r="I154" i="7"/>
  <c r="I153" i="7" s="1"/>
  <c r="H154" i="7"/>
  <c r="H153" i="7" s="1"/>
  <c r="G154" i="7"/>
  <c r="G153" i="7" s="1"/>
  <c r="E154" i="7"/>
  <c r="E153" i="7" s="1"/>
  <c r="I145" i="7"/>
  <c r="H145" i="7"/>
  <c r="G145" i="7"/>
  <c r="E145" i="7"/>
  <c r="I133" i="7"/>
  <c r="H133" i="7"/>
  <c r="G133" i="7"/>
  <c r="E133" i="7"/>
  <c r="I125" i="7"/>
  <c r="H125" i="7"/>
  <c r="G125" i="7"/>
  <c r="E125" i="7"/>
  <c r="I120" i="7"/>
  <c r="H120" i="7"/>
  <c r="G120" i="7"/>
  <c r="E120" i="7"/>
  <c r="I114" i="7"/>
  <c r="H114" i="7"/>
  <c r="G114" i="7"/>
  <c r="E114" i="7"/>
  <c r="I110" i="7"/>
  <c r="H110" i="7"/>
  <c r="G110" i="7"/>
  <c r="E110" i="7"/>
  <c r="I70" i="7"/>
  <c r="H70" i="7"/>
  <c r="G70" i="7"/>
  <c r="E70" i="7"/>
  <c r="I62" i="7"/>
  <c r="H62" i="7"/>
  <c r="G62" i="7"/>
  <c r="E62" i="7"/>
  <c r="I57" i="7"/>
  <c r="H57" i="7"/>
  <c r="G57" i="7"/>
  <c r="E57" i="7"/>
  <c r="E21" i="7"/>
  <c r="E20" i="7" s="1"/>
  <c r="E15" i="7"/>
  <c r="E11" i="7"/>
  <c r="G161" i="3" l="1"/>
  <c r="E56" i="7"/>
  <c r="E55" i="7" s="1"/>
  <c r="E89" i="7" s="1"/>
  <c r="I56" i="7"/>
  <c r="H56" i="7"/>
  <c r="G56" i="7"/>
  <c r="E162" i="7"/>
  <c r="E161" i="7" s="1"/>
  <c r="G157" i="7"/>
  <c r="G162" i="7"/>
  <c r="G161" i="7" s="1"/>
  <c r="I157" i="7"/>
  <c r="I162" i="7"/>
  <c r="I161" i="7" s="1"/>
  <c r="H157" i="7"/>
  <c r="H162" i="7"/>
  <c r="H161" i="7" s="1"/>
  <c r="E157" i="7"/>
  <c r="G119" i="7"/>
  <c r="E119" i="7"/>
  <c r="E109" i="7" s="1"/>
  <c r="H119" i="7"/>
  <c r="H109" i="7" s="1"/>
  <c r="I119" i="7"/>
  <c r="I109" i="7" s="1"/>
  <c r="E10" i="7"/>
  <c r="E9" i="7" s="1"/>
  <c r="E26" i="7" s="1"/>
  <c r="G109" i="7" l="1"/>
  <c r="G108" i="7"/>
  <c r="G173" i="7" s="1"/>
  <c r="H108" i="7"/>
  <c r="H173" i="7" s="1"/>
  <c r="H55" i="7"/>
  <c r="H89" i="7" s="1"/>
  <c r="G55" i="7"/>
  <c r="G89" i="7" s="1"/>
  <c r="I55" i="7"/>
  <c r="I89" i="7" s="1"/>
  <c r="I108" i="7"/>
  <c r="I173" i="7" s="1"/>
  <c r="E108" i="7"/>
  <c r="E173" i="7" s="1"/>
  <c r="E12" i="3"/>
  <c r="E26" i="3" s="1"/>
  <c r="E11" i="3" l="1"/>
  <c r="E10" i="3" l="1"/>
</calcChain>
</file>

<file path=xl/sharedStrings.xml><?xml version="1.0" encoding="utf-8"?>
<sst xmlns="http://schemas.openxmlformats.org/spreadsheetml/2006/main" count="736" uniqueCount="191">
  <si>
    <t>PRIHODI UKUPNO</t>
  </si>
  <si>
    <t>PRIHODI POSLOVANJA</t>
  </si>
  <si>
    <t>RASHODI UKUPNO</t>
  </si>
  <si>
    <t>RAZLIKA - VIŠAK / MANJAK</t>
  </si>
  <si>
    <t>VIŠAK / MANJAK IZ PRETHODNE(IH) GODINE KOJI ĆE SE RASPOREDITI / POKRITI</t>
  </si>
  <si>
    <t>NETO FINANCIRANJE</t>
  </si>
  <si>
    <t>VIŠAK / MANJAK + NETO FINANCIRANJE</t>
  </si>
  <si>
    <t>Naziv prihoda</t>
  </si>
  <si>
    <t xml:space="preserve">A. RAČUN PRIHODA I RASHODA </t>
  </si>
  <si>
    <t>Razred</t>
  </si>
  <si>
    <t>Skupina</t>
  </si>
  <si>
    <t>Izvor</t>
  </si>
  <si>
    <t>Prihodi poslovanja</t>
  </si>
  <si>
    <t>Opći prihodi i primici</t>
  </si>
  <si>
    <t>RASHODI POSLOVANJA</t>
  </si>
  <si>
    <t>Naziv rashoda</t>
  </si>
  <si>
    <t>Rashodi poslovanja</t>
  </si>
  <si>
    <t>Rashodi za zaposlene</t>
  </si>
  <si>
    <t>RASHODI PREMA FUNKCIJSKOJ KLASIFIKACIJI</t>
  </si>
  <si>
    <t>BROJČANA OZNAKA I NAZIV</t>
  </si>
  <si>
    <t>UKUPNI RASHODI</t>
  </si>
  <si>
    <t>B. RAČUN FINANCIRANJA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</si>
  <si>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</si>
  <si>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</si>
  <si>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</si>
  <si>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</si>
  <si>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</si>
  <si>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</si>
  <si>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</si>
  <si>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</si>
  <si>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Namjenski primici od zaduživanja</t>
  </si>
  <si>
    <t>Izdaci za otplatu glavnice primljenih kredita i zajmova</t>
  </si>
  <si>
    <t>Vlastiti prihodi</t>
  </si>
  <si>
    <t>NAZIV PROGRAMA</t>
  </si>
  <si>
    <t>A) SAŽETAK RAČUNA PRIHODA I RASHODA</t>
  </si>
  <si>
    <t>B) SAŽETAK RAČUNA FINANCIRANJA</t>
  </si>
  <si>
    <t>Pomoći iz inozemstva i od subjekata unutar općeg proračuna</t>
  </si>
  <si>
    <t>Ostale pomoći</t>
  </si>
  <si>
    <t>Ostali prihodi za posebne namjene</t>
  </si>
  <si>
    <t>FINANCIJSKI PLAN PRORAČUNSKOG KORISNIKA JEDINICE LOKALNE I PODRUČNE (REGIONALNE) SAMOUPRAVE 
ZA 2023. I PROJEKCIJA ZA 2024. I 2025. GODINU</t>
  </si>
  <si>
    <t>Rashodi za nabavu proizvedene dugotrajne imovine</t>
  </si>
  <si>
    <t>Naziv</t>
  </si>
  <si>
    <t>Plaće (bruto)</t>
  </si>
  <si>
    <t>Doprinosi na plaće</t>
  </si>
  <si>
    <t>Naknade troškova zaposlenima</t>
  </si>
  <si>
    <t>Rashodi za materijal i energiju</t>
  </si>
  <si>
    <t>Rashodi za usluge</t>
  </si>
  <si>
    <t>Ostali nespomenuti rashodi poslovanja</t>
  </si>
  <si>
    <t>Financijski rashodi</t>
  </si>
  <si>
    <t>Ostali financijski rashodi</t>
  </si>
  <si>
    <t>Naknade građanima i kućanstvima na temelju osiguranja i druge naknade</t>
  </si>
  <si>
    <t>Ostale naknade građanima i kućanstvima iz proračuna</t>
  </si>
  <si>
    <t>Postrojenja i oprema</t>
  </si>
  <si>
    <t>Knjige, umjetnička djela i ostale izložbene vrijednosti</t>
  </si>
  <si>
    <t>Plaće za redovan rad</t>
  </si>
  <si>
    <t>Plaće za prekovremeni rad</t>
  </si>
  <si>
    <t>Plaće za posebne uvjete rada</t>
  </si>
  <si>
    <t>Ostali rashodi za zapslene</t>
  </si>
  <si>
    <t>Ostali rashodi za zaposlene</t>
  </si>
  <si>
    <t>Doprinos za mirovinsko osiguranje</t>
  </si>
  <si>
    <t>Dobrinos za obvezno zdravstveno osiguranje</t>
  </si>
  <si>
    <t>Službena putovanja</t>
  </si>
  <si>
    <t>Naknade za prijevoz, ra rad na terenu i odvojeni život</t>
  </si>
  <si>
    <t>Stručno usavršavanje zaposlenika</t>
  </si>
  <si>
    <t>Ostale naknade troškova zaposlenika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</si>
  <si>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</si>
  <si>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</si>
  <si>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</si>
  <si>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</si>
  <si>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</si>
  <si>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Vojna sredstva za jednokratnu  upotrebu</t>
  </si>
  <si>
    <t>Službena , radna i zaštitna odjeća i obuća</t>
  </si>
  <si>
    <t>Usluge telofona, pošte i prijevoza</t>
  </si>
  <si>
    <t>Usluge tekućeg i investicijskog održavanja</t>
  </si>
  <si>
    <t>Usluge promidžbe i informiranja</t>
  </si>
  <si>
    <t>Komunalne usluge</t>
  </si>
  <si>
    <t>Zakupnine i najamnine</t>
  </si>
  <si>
    <t>Zadravstvene i veterinarske usluge</t>
  </si>
  <si>
    <t>Intelektualne i osobne usluge</t>
  </si>
  <si>
    <t>Računalne usluge</t>
  </si>
  <si>
    <t>Ostale usluge</t>
  </si>
  <si>
    <t>Naknada troškova osobama izvan radnog odnosa</t>
  </si>
  <si>
    <t>Ostali nespomenuti rashodi psolovanja</t>
  </si>
  <si>
    <t>Naknade za rad predstavničkih i izvršnih tijela, povjerenstava i slično</t>
  </si>
  <si>
    <t>Premije osiguranja</t>
  </si>
  <si>
    <t>Reprezenatacije</t>
  </si>
  <si>
    <t>Članarine i norme</t>
  </si>
  <si>
    <t>Pristojbe i naknade</t>
  </si>
  <si>
    <t>Troškovi sudskih postupaka</t>
  </si>
  <si>
    <t>Bankarske usluge i usluge platnog prometa</t>
  </si>
  <si>
    <t>Zatezne kamate</t>
  </si>
  <si>
    <t>Naknade građanima i kućanstvima u novcu</t>
  </si>
  <si>
    <t>Naknade građanima i kućanstvima u naravi</t>
  </si>
  <si>
    <t>Uredska oprema i namještaj</t>
  </si>
  <si>
    <t>Komunikacijska oprema</t>
  </si>
  <si>
    <t>Oprema za održavanje i zaštitu</t>
  </si>
  <si>
    <t>Instrumenti uređaji i strojevi</t>
  </si>
  <si>
    <t>Sportska i glazbena oprema</t>
  </si>
  <si>
    <t>Uređaji, strojevi i oprema za ostale namjene</t>
  </si>
  <si>
    <t>Knjige</t>
  </si>
  <si>
    <t>UKUPNO:</t>
  </si>
  <si>
    <t>ŠKOLSTVO1013</t>
  </si>
  <si>
    <t>09 Obrazovanje</t>
  </si>
  <si>
    <t>0912 Osnovno obrazovanje</t>
  </si>
  <si>
    <t>096 Dodatne usluge u obrazovanju</t>
  </si>
  <si>
    <t>098 Usluge obrazovanja koje nisu drugdje
svrstane</t>
  </si>
  <si>
    <t>Pomoći EU</t>
  </si>
  <si>
    <t>Nakn.trošk.osobama izvan rad.odn.</t>
  </si>
  <si>
    <t>Nakn.trošk.osobama izvan radnog odnosa</t>
  </si>
  <si>
    <t>UKUPNO RASHODI</t>
  </si>
  <si>
    <t>Pomoći proračnskim korisnicma iz proračuna koji im nije nadležan</t>
  </si>
  <si>
    <t>Tekuće pomoći proraračnskim korisnicima iz proraučuna koji im nije nadležan</t>
  </si>
  <si>
    <t>Kapitalne pomoći proračunskim korisnicma iz proračuna koji im nije nadležan</t>
  </si>
  <si>
    <t>Pomoći temeljem prijenosa EU sredstava</t>
  </si>
  <si>
    <t>Tekuće pomoći temeljem prijenosa EU sredstava</t>
  </si>
  <si>
    <t>Kapitalne pomoći temeljem prijenosa EU sredstava</t>
  </si>
  <si>
    <t>Prihodi po posebnim propisima</t>
  </si>
  <si>
    <t>Prihodi od upravnih i administrativnih 
pristojbi, pristojbi po posebnim propisima i naknada</t>
  </si>
  <si>
    <t>Prihodi od prodaje proizvoda i robe te pruženih usluga i prihoda od donacija</t>
  </si>
  <si>
    <t>Prihodi odr prodaje proizvoda i roba te pruženh usluga</t>
  </si>
  <si>
    <t>Prihodi od prodaje proizvoda i robe</t>
  </si>
  <si>
    <t>Prihodi od pruženih usluga</t>
  </si>
  <si>
    <t>Donacije od pravnih i fizičkih osoba izvan općeg proračuna</t>
  </si>
  <si>
    <t>Tekuće donacije</t>
  </si>
  <si>
    <t>Kapitalne donacije</t>
  </si>
  <si>
    <t>Prihodi iz nadležnog proračuna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</si>
  <si>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</si>
  <si>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</si>
  <si>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neifnancijske imovine</t>
  </si>
  <si>
    <t>UKUPNO PRIHODI</t>
  </si>
  <si>
    <t>Naknade za prijevoz, za rad na terenu i odvojeni život</t>
  </si>
  <si>
    <t>Aktivnost A101314</t>
  </si>
  <si>
    <t>Vlastiti i ostali prihodi</t>
  </si>
  <si>
    <t>Aktivnost A101301</t>
  </si>
  <si>
    <t>Decentralizirana sredstva</t>
  </si>
  <si>
    <t>Osnovno školstvo</t>
  </si>
  <si>
    <t>Ostali izdaci za osnovne škole</t>
  </si>
  <si>
    <t xml:space="preserve">Vlastiti i ostali prihodi </t>
  </si>
  <si>
    <t xml:space="preserve">Pomoći proračnunu iz drugih proračuna </t>
  </si>
  <si>
    <t xml:space="preserve">Tekuće pomoći proraračunu iz drugih proračuna </t>
  </si>
  <si>
    <t xml:space="preserve">Kapitalne pomoći proraračunu iz drugih proračuna </t>
  </si>
  <si>
    <t>Ostali nespomenuti prihodi</t>
  </si>
  <si>
    <t>PRIJENOS VIŠKA / MANJKA U SLJEDEĆE RAZDOBLJE</t>
  </si>
  <si>
    <t>VIŠAK / MANJAK TEKUĆE GODINE</t>
  </si>
  <si>
    <t>PRIJENOS VIŠKA / MANJKA IZ PRETHODNE(IH) GODINE</t>
  </si>
  <si>
    <t>Projekcija proračuna
za 2026.</t>
  </si>
  <si>
    <t>D) VIŠEGODIŠNJI PLAN URAVNOTEŽENJA</t>
  </si>
  <si>
    <t>VIŠAK / MANJAK + NETO FINANCIRANJE + PRIJENOS VIŠKA / MANJKA IZ PRETHODNE(IH) GODINE - PRIJENOS VIŠKA / MANJKA U SLJEDEĆE RAZDOBLJE</t>
  </si>
  <si>
    <t xml:space="preserve">C) PRENESENI VIŠAK ILI PRENESENI MANJAK </t>
  </si>
  <si>
    <t>5 IZDACI ZA FINANCIJSKU IMOVINU I OTPLATE ZAJMOVA</t>
  </si>
  <si>
    <t>8 PRIMICI OD FINANCIJSKE IMOVINE I ZADUŽIVANJA</t>
  </si>
  <si>
    <t>4 RASHODI ZA NABAVU NEFINANCIJSKE IMOVINE</t>
  </si>
  <si>
    <t>3 RASHODI  POSLOVANJA</t>
  </si>
  <si>
    <t>7 PRIHODI OD PRODAJE NEFINANCIJSKE IMOVINE</t>
  </si>
  <si>
    <t>6 PRIHODI POSLOVANJA</t>
  </si>
  <si>
    <t>EUR</t>
  </si>
  <si>
    <t xml:space="preserve">  31 Vlastiti prihodi</t>
  </si>
  <si>
    <t>3 Vlastiti prihodi</t>
  </si>
  <si>
    <t xml:space="preserve">  11 Opći prihodi i primici</t>
  </si>
  <si>
    <t>1 Opći prihodi i primici</t>
  </si>
  <si>
    <t>Projekcija 
za 2026.</t>
  </si>
  <si>
    <t>Brojčana oznaka i naziv</t>
  </si>
  <si>
    <t>RASHODI POSLOVANJA PREMA IZVORIMA FINANCIRANJA</t>
  </si>
  <si>
    <t xml:space="preserve">  52 Ostale pomoći</t>
  </si>
  <si>
    <t>5 Pomoći</t>
  </si>
  <si>
    <t xml:space="preserve">  43 Ostali prihodi za posebne namjene</t>
  </si>
  <si>
    <t>4 Prihodi za posebne namjene</t>
  </si>
  <si>
    <t>PRIHODI POSLOVANJA PREMA IZVORIMA FINANCIRANJA</t>
  </si>
  <si>
    <t>44 Decentralizirana sredstva</t>
  </si>
  <si>
    <t xml:space="preserve">  51 Pomoći EU</t>
  </si>
  <si>
    <t xml:space="preserve"> 44 Decentralizirana sredstva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</si>
  <si>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</si>
  <si>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</si>
  <si>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</si>
  <si>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</si>
  <si>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</si>
  <si>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FINANCIJSKI PLAN PRORAČUNSKOG KORISNIKA JEDINICE LOKALNE I PODRUČNE (REGIONALNE) SAMOUPRAVE 
ZA 2025. I PROJEKCIJA ZA 2026. I 2027. GODINU</t>
  </si>
  <si>
    <t>Izvršenje 2023.*</t>
  </si>
  <si>
    <t>Plan 2024.</t>
  </si>
  <si>
    <t>Proračun za 2025.</t>
  </si>
  <si>
    <t>Projekcija proračuna
za 2027.</t>
  </si>
  <si>
    <t>OŠ DR. VINKA ŽGANCA VRATIŠINEC</t>
  </si>
  <si>
    <t>Izvršenje 2023.</t>
  </si>
  <si>
    <t>Plan
za 2025.</t>
  </si>
  <si>
    <t>Projekcija 
za 2027.</t>
  </si>
  <si>
    <t>Plan
za 2024.</t>
  </si>
  <si>
    <t>Plan
2024.</t>
  </si>
  <si>
    <t>Projekt ''Škole jednakih mogućnosti''</t>
  </si>
  <si>
    <t>Aktivnost T100117</t>
  </si>
  <si>
    <t>Asistenti u nastavi</t>
  </si>
  <si>
    <t>Aktivnost A101319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</si>
</sst>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5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9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0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NumberFormat="1" applyFont="1" applyFill="1" applyBorder="1" applyAlignment="1" applyProtection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0" fillId="2" borderId="3" xfId="0" applyNumberFormat="1" applyFont="1" applyFill="1" applyBorder="1" applyAlignment="1" applyProtection="1">
      <alignment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6" fillId="0" borderId="5" xfId="0" applyFont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3" fillId="5" borderId="1" xfId="0" applyNumberFormat="1" applyFont="1" applyFill="1" applyBorder="1" applyAlignment="1" applyProtection="1">
      <alignment horizontal="left" vertical="center" wrapText="1" indent="1"/>
    </xf>
    <xf numFmtId="0" fontId="3" fillId="5" borderId="2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 indent="1"/>
    </xf>
    <xf numFmtId="0" fontId="3" fillId="5" borderId="4" xfId="0" applyNumberFormat="1" applyFont="1" applyFill="1" applyBorder="1" applyAlignment="1" applyProtection="1">
      <alignment horizontal="left" vertical="center" wrapText="1"/>
    </xf>
    <xf numFmtId="3" fontId="3" fillId="5" borderId="4" xfId="0" applyNumberFormat="1" applyFont="1" applyFill="1" applyBorder="1" applyAlignment="1">
      <alignment horizontal="right"/>
    </xf>
    <xf numFmtId="0" fontId="6" fillId="6" borderId="4" xfId="0" applyNumberFormat="1" applyFont="1" applyFill="1" applyBorder="1" applyAlignment="1" applyProtection="1">
      <alignment horizontal="left" vertical="center" wrapText="1"/>
    </xf>
    <xf numFmtId="3" fontId="6" fillId="6" borderId="4" xfId="0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6" borderId="1" xfId="0" applyNumberFormat="1" applyFont="1" applyFill="1" applyBorder="1" applyAlignment="1" applyProtection="1">
      <alignment horizontal="left" vertical="center" wrapText="1" indent="1"/>
    </xf>
    <xf numFmtId="0" fontId="6" fillId="6" borderId="2" xfId="0" applyNumberFormat="1" applyFont="1" applyFill="1" applyBorder="1" applyAlignment="1" applyProtection="1">
      <alignment horizontal="left" vertical="center" wrapText="1" indent="1"/>
    </xf>
    <xf numFmtId="0" fontId="6" fillId="6" borderId="4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10" fillId="7" borderId="3" xfId="0" applyNumberFormat="1" applyFont="1" applyFill="1" applyBorder="1" applyAlignment="1" applyProtection="1">
      <alignment horizontal="left" vertical="center" wrapText="1"/>
    </xf>
    <xf numFmtId="0" fontId="8" fillId="7" borderId="3" xfId="0" applyNumberFormat="1" applyFont="1" applyFill="1" applyBorder="1" applyAlignment="1" applyProtection="1">
      <alignment horizontal="left" vertical="center" wrapText="1"/>
    </xf>
    <xf numFmtId="0" fontId="8" fillId="7" borderId="3" xfId="0" quotePrefix="1" applyFont="1" applyFill="1" applyBorder="1" applyAlignment="1">
      <alignment horizontal="left" vertical="center"/>
    </xf>
    <xf numFmtId="0" fontId="9" fillId="7" borderId="3" xfId="0" quotePrefix="1" applyFont="1" applyFill="1" applyBorder="1" applyAlignment="1">
      <alignment horizontal="left" vertical="center"/>
    </xf>
    <xf numFmtId="0" fontId="10" fillId="8" borderId="3" xfId="0" applyNumberFormat="1" applyFont="1" applyFill="1" applyBorder="1" applyAlignment="1" applyProtection="1">
      <alignment horizontal="left" vertical="center" wrapText="1"/>
    </xf>
    <xf numFmtId="0" fontId="8" fillId="8" borderId="3" xfId="0" applyNumberFormat="1" applyFont="1" applyFill="1" applyBorder="1" applyAlignment="1" applyProtection="1">
      <alignment horizontal="left" vertical="center" wrapText="1"/>
    </xf>
    <xf numFmtId="0" fontId="8" fillId="9" borderId="3" xfId="0" quotePrefix="1" applyFont="1" applyFill="1" applyBorder="1" applyAlignment="1">
      <alignment horizontal="left" vertical="center"/>
    </xf>
    <xf numFmtId="0" fontId="9" fillId="9" borderId="3" xfId="0" quotePrefix="1" applyFont="1" applyFill="1" applyBorder="1" applyAlignment="1">
      <alignment horizontal="left" vertical="center"/>
    </xf>
    <xf numFmtId="0" fontId="8" fillId="9" borderId="3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8" fillId="6" borderId="3" xfId="0" applyNumberFormat="1" applyFont="1" applyFill="1" applyBorder="1" applyAlignment="1" applyProtection="1">
      <alignment horizontal="left" vertical="center" wrapText="1"/>
    </xf>
    <xf numFmtId="0" fontId="10" fillId="6" borderId="3" xfId="0" quotePrefix="1" applyFont="1" applyFill="1" applyBorder="1" applyAlignment="1">
      <alignment horizontal="left" vertical="center"/>
    </xf>
    <xf numFmtId="0" fontId="18" fillId="6" borderId="3" xfId="0" quotePrefix="1" applyFont="1" applyFill="1" applyBorder="1" applyAlignment="1">
      <alignment horizontal="left" vertical="center"/>
    </xf>
    <xf numFmtId="0" fontId="10" fillId="6" borderId="4" xfId="0" quotePrefix="1" applyFont="1" applyFill="1" applyBorder="1" applyAlignment="1">
      <alignment horizontal="left" vertical="center" wrapText="1"/>
    </xf>
    <xf numFmtId="0" fontId="10" fillId="6" borderId="3" xfId="0" applyNumberFormat="1" applyFont="1" applyFill="1" applyBorder="1" applyAlignment="1" applyProtection="1">
      <alignment horizontal="left" vertical="center" wrapText="1"/>
    </xf>
    <xf numFmtId="0" fontId="10" fillId="6" borderId="4" xfId="0" quotePrefix="1" applyFont="1" applyFill="1" applyBorder="1" applyAlignment="1">
      <alignment horizontal="left" vertical="center"/>
    </xf>
    <xf numFmtId="0" fontId="0" fillId="0" borderId="0" xfId="0" applyBorder="1"/>
    <xf numFmtId="0" fontId="17" fillId="2" borderId="4" xfId="0" applyNumberFormat="1" applyFont="1" applyFill="1" applyBorder="1" applyAlignment="1" applyProtection="1">
      <alignment horizontal="left" vertical="center" wrapText="1"/>
    </xf>
    <xf numFmtId="2" fontId="3" fillId="2" borderId="4" xfId="0" applyNumberFormat="1" applyFont="1" applyFill="1" applyBorder="1" applyAlignment="1">
      <alignment horizontal="right"/>
    </xf>
    <xf numFmtId="2" fontId="6" fillId="6" borderId="4" xfId="0" applyNumberFormat="1" applyFont="1" applyFill="1" applyBorder="1" applyAlignment="1">
      <alignment horizontal="right"/>
    </xf>
    <xf numFmtId="2" fontId="3" fillId="5" borderId="4" xfId="0" applyNumberFormat="1" applyFont="1" applyFill="1" applyBorder="1" applyAlignment="1">
      <alignment horizontal="right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 indent="1"/>
    </xf>
    <xf numFmtId="0" fontId="3" fillId="2" borderId="2" xfId="0" applyNumberFormat="1" applyFont="1" applyFill="1" applyBorder="1" applyAlignment="1" applyProtection="1">
      <alignment horizontal="left" vertical="center" wrapText="1" indent="1"/>
    </xf>
    <xf numFmtId="0" fontId="3" fillId="2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 indent="1"/>
    </xf>
    <xf numFmtId="0" fontId="6" fillId="6" borderId="2" xfId="0" applyNumberFormat="1" applyFont="1" applyFill="1" applyBorder="1" applyAlignment="1" applyProtection="1">
      <alignment horizontal="left" vertical="center" wrapText="1" indent="1"/>
    </xf>
    <xf numFmtId="0" fontId="6" fillId="6" borderId="4" xfId="0" applyNumberFormat="1" applyFont="1" applyFill="1" applyBorder="1" applyAlignment="1" applyProtection="1">
      <alignment horizontal="left" vertical="center" wrapText="1" indent="1"/>
    </xf>
    <xf numFmtId="4" fontId="6" fillId="6" borderId="4" xfId="0" applyNumberFormat="1" applyFont="1" applyFill="1" applyBorder="1" applyAlignment="1">
      <alignment horizontal="right"/>
    </xf>
    <xf numFmtId="4" fontId="3" fillId="5" borderId="4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2" fontId="3" fillId="2" borderId="3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4" fontId="0" fillId="8" borderId="3" xfId="0" applyNumberFormat="1" applyFill="1" applyBorder="1"/>
    <xf numFmtId="4" fontId="3" fillId="5" borderId="3" xfId="0" applyNumberFormat="1" applyFont="1" applyFill="1" applyBorder="1" applyAlignment="1">
      <alignment horizontal="right"/>
    </xf>
    <xf numFmtId="4" fontId="3" fillId="7" borderId="4" xfId="0" applyNumberFormat="1" applyFont="1" applyFill="1" applyBorder="1" applyAlignment="1">
      <alignment horizontal="right"/>
    </xf>
    <xf numFmtId="4" fontId="3" fillId="9" borderId="4" xfId="0" applyNumberFormat="1" applyFont="1" applyFill="1" applyBorder="1" applyAlignment="1">
      <alignment horizontal="right"/>
    </xf>
    <xf numFmtId="4" fontId="3" fillId="9" borderId="3" xfId="0" applyNumberFormat="1" applyFont="1" applyFill="1" applyBorder="1" applyAlignment="1">
      <alignment horizontal="right"/>
    </xf>
    <xf numFmtId="4" fontId="3" fillId="9" borderId="3" xfId="0" applyNumberFormat="1" applyFont="1" applyFill="1" applyBorder="1" applyAlignment="1" applyProtection="1">
      <alignment horizontal="right" wrapText="1"/>
    </xf>
    <xf numFmtId="4" fontId="3" fillId="6" borderId="4" xfId="0" applyNumberFormat="1" applyFont="1" applyFill="1" applyBorder="1" applyAlignment="1">
      <alignment horizontal="right"/>
    </xf>
    <xf numFmtId="0" fontId="10" fillId="2" borderId="0" xfId="0" applyNumberFormat="1" applyFont="1" applyFill="1" applyBorder="1" applyAlignment="1" applyProtection="1">
      <alignment horizontal="left" vertical="center" wrapText="1"/>
    </xf>
    <xf numFmtId="0" fontId="10" fillId="2" borderId="0" xfId="0" quotePrefix="1" applyFont="1" applyFill="1" applyBorder="1" applyAlignment="1">
      <alignment horizontal="left" vertical="center"/>
    </xf>
    <xf numFmtId="0" fontId="18" fillId="2" borderId="0" xfId="0" quotePrefix="1" applyFont="1" applyFill="1" applyBorder="1" applyAlignment="1">
      <alignment horizontal="left" vertical="center"/>
    </xf>
    <xf numFmtId="4" fontId="6" fillId="2" borderId="0" xfId="0" applyNumberFormat="1" applyFont="1" applyFill="1" applyBorder="1" applyAlignment="1">
      <alignment horizontal="right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wrapText="1"/>
    </xf>
    <xf numFmtId="0" fontId="8" fillId="3" borderId="2" xfId="0" applyNumberFormat="1" applyFont="1" applyFill="1" applyBorder="1" applyAlignment="1" applyProtection="1">
      <alignment vertical="center"/>
    </xf>
    <xf numFmtId="3" fontId="6" fillId="3" borderId="3" xfId="0" quotePrefix="1" applyNumberFormat="1" applyFont="1" applyFill="1" applyBorder="1" applyAlignment="1">
      <alignment horizontal="right"/>
    </xf>
    <xf numFmtId="3" fontId="10" fillId="4" borderId="3" xfId="0" applyNumberFormat="1" applyFont="1" applyFill="1" applyBorder="1" applyAlignment="1" applyProtection="1">
      <alignment horizontal="right" wrapText="1"/>
    </xf>
    <xf numFmtId="3" fontId="10" fillId="4" borderId="1" xfId="0" quotePrefix="1" applyNumberFormat="1" applyFont="1" applyFill="1" applyBorder="1" applyAlignment="1">
      <alignment horizontal="right"/>
    </xf>
    <xf numFmtId="0" fontId="10" fillId="0" borderId="2" xfId="0" quotePrefix="1" applyNumberFormat="1" applyFont="1" applyFill="1" applyBorder="1" applyAlignment="1" applyProtection="1">
      <alignment horizontal="left"/>
    </xf>
    <xf numFmtId="0" fontId="10" fillId="0" borderId="2" xfId="0" quotePrefix="1" applyFont="1" applyBorder="1" applyAlignment="1">
      <alignment horizontal="center" wrapText="1"/>
    </xf>
    <xf numFmtId="0" fontId="10" fillId="0" borderId="2" xfId="0" quotePrefix="1" applyFont="1" applyBorder="1" applyAlignment="1">
      <alignment horizontal="left" wrapText="1"/>
    </xf>
    <xf numFmtId="0" fontId="10" fillId="0" borderId="1" xfId="0" quotePrefix="1" applyFont="1" applyBorder="1" applyAlignment="1">
      <alignment horizontal="left" wrapText="1"/>
    </xf>
    <xf numFmtId="0" fontId="8" fillId="0" borderId="0" xfId="0" applyNumberFormat="1" applyFont="1" applyFill="1" applyBorder="1" applyAlignment="1" applyProtection="1"/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21" fillId="0" borderId="0" xfId="0" quotePrefix="1" applyNumberFormat="1" applyFont="1" applyFill="1" applyBorder="1" applyAlignment="1" applyProtection="1">
      <alignment horizontal="center" vertical="center" wrapText="1"/>
    </xf>
    <xf numFmtId="0" fontId="22" fillId="0" borderId="0" xfId="0" applyFont="1" applyAlignment="1">
      <alignment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3" fontId="10" fillId="3" borderId="3" xfId="0" quotePrefix="1" applyNumberFormat="1" applyFont="1" applyFill="1" applyBorder="1" applyAlignment="1">
      <alignment horizontal="right"/>
    </xf>
    <xf numFmtId="3" fontId="10" fillId="3" borderId="1" xfId="0" quotePrefix="1" applyNumberFormat="1" applyFont="1" applyFill="1" applyBorder="1" applyAlignment="1">
      <alignment horizontal="right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0" fillId="5" borderId="3" xfId="0" applyNumberFormat="1" applyFont="1" applyFill="1" applyBorder="1" applyAlignment="1" applyProtection="1">
      <alignment vertical="center" wrapText="1"/>
    </xf>
    <xf numFmtId="0" fontId="10" fillId="5" borderId="3" xfId="0" applyNumberFormat="1" applyFont="1" applyFill="1" applyBorder="1" applyAlignment="1" applyProtection="1">
      <alignment horizontal="left" vertical="center" wrapText="1"/>
    </xf>
    <xf numFmtId="0" fontId="6" fillId="5" borderId="3" xfId="0" applyNumberFormat="1" applyFont="1" applyFill="1" applyBorder="1" applyAlignment="1" applyProtection="1">
      <alignment horizontal="left" vertical="center" wrapText="1"/>
    </xf>
    <xf numFmtId="0" fontId="0" fillId="2" borderId="0" xfId="0" applyFill="1"/>
    <xf numFmtId="2" fontId="3" fillId="5" borderId="3" xfId="0" applyNumberFormat="1" applyFont="1" applyFill="1" applyBorder="1" applyAlignment="1" applyProtection="1">
      <alignment horizontal="right" vertical="center" wrapText="1"/>
    </xf>
    <xf numFmtId="4" fontId="6" fillId="3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>
      <alignment horizontal="right"/>
    </xf>
    <xf numFmtId="4" fontId="6" fillId="0" borderId="3" xfId="0" applyNumberFormat="1" applyFont="1" applyFill="1" applyBorder="1" applyAlignment="1" applyProtection="1">
      <alignment horizontal="right" wrapText="1"/>
    </xf>
    <xf numFmtId="4" fontId="6" fillId="0" borderId="3" xfId="0" applyNumberFormat="1" applyFont="1" applyBorder="1" applyAlignment="1">
      <alignment horizontal="right"/>
    </xf>
    <xf numFmtId="0" fontId="6" fillId="6" borderId="3" xfId="0" applyNumberFormat="1" applyFont="1" applyFill="1" applyBorder="1" applyAlignment="1" applyProtection="1">
      <alignment horizontal="left"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 indent="1"/>
    </xf>
    <xf numFmtId="0" fontId="6" fillId="6" borderId="2" xfId="0" applyNumberFormat="1" applyFont="1" applyFill="1" applyBorder="1" applyAlignment="1" applyProtection="1">
      <alignment horizontal="left" vertical="center" wrapText="1" indent="1"/>
    </xf>
    <xf numFmtId="0" fontId="6" fillId="6" borderId="4" xfId="0" applyNumberFormat="1" applyFont="1" applyFill="1" applyBorder="1" applyAlignment="1" applyProtection="1">
      <alignment horizontal="left" vertical="center" wrapText="1" inden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4" fontId="6" fillId="6" borderId="4" xfId="0" applyNumberFormat="1" applyFont="1" applyFill="1" applyBorder="1" applyAlignment="1" applyProtection="1">
      <alignment horizontal="center" vertical="center" wrapText="1"/>
    </xf>
    <xf numFmtId="4" fontId="6" fillId="4" borderId="3" xfId="0" applyNumberFormat="1" applyFont="1" applyFill="1" applyBorder="1" applyAlignment="1" applyProtection="1">
      <alignment horizontal="center" vertical="center" wrapText="1"/>
    </xf>
    <xf numFmtId="4" fontId="6" fillId="4" borderId="4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/>
    <xf numFmtId="4" fontId="19" fillId="8" borderId="3" xfId="0" applyNumberFormat="1" applyFont="1" applyFill="1" applyBorder="1"/>
    <xf numFmtId="4" fontId="3" fillId="2" borderId="3" xfId="0" applyNumberFormat="1" applyFont="1" applyFill="1" applyBorder="1" applyAlignment="1">
      <alignment horizontal="right"/>
    </xf>
    <xf numFmtId="4" fontId="3" fillId="5" borderId="3" xfId="0" applyNumberFormat="1" applyFont="1" applyFill="1" applyBorder="1" applyAlignment="1" applyProtection="1">
      <alignment horizontal="right" wrapText="1"/>
    </xf>
    <xf numFmtId="4" fontId="3" fillId="2" borderId="3" xfId="0" applyNumberFormat="1" applyFont="1" applyFill="1" applyBorder="1" applyAlignment="1" applyProtection="1">
      <alignment horizontal="right" wrapText="1"/>
    </xf>
    <xf numFmtId="4" fontId="19" fillId="5" borderId="3" xfId="0" applyNumberFormat="1" applyFont="1" applyFill="1" applyBorder="1"/>
    <xf numFmtId="4" fontId="19" fillId="0" borderId="3" xfId="0" applyNumberFormat="1" applyFont="1" applyBorder="1"/>
    <xf numFmtId="4" fontId="19" fillId="2" borderId="3" xfId="0" applyNumberFormat="1" applyFont="1" applyFill="1" applyBorder="1"/>
    <xf numFmtId="4" fontId="19" fillId="10" borderId="3" xfId="0" applyNumberFormat="1" applyFont="1" applyFill="1" applyBorder="1"/>
    <xf numFmtId="2" fontId="0" fillId="0" borderId="0" xfId="0" applyNumberFormat="1"/>
    <xf numFmtId="2" fontId="6" fillId="6" borderId="4" xfId="0" applyNumberFormat="1" applyFont="1" applyFill="1" applyBorder="1" applyAlignment="1" applyProtection="1">
      <alignment horizontal="left" vertical="center" wrapText="1"/>
    </xf>
    <xf numFmtId="2" fontId="3" fillId="5" borderId="4" xfId="0" applyNumberFormat="1" applyFont="1" applyFill="1" applyBorder="1" applyAlignment="1" applyProtection="1">
      <alignment horizontal="left" vertical="center" wrapText="1"/>
    </xf>
    <xf numFmtId="2" fontId="3" fillId="2" borderId="4" xfId="0" applyNumberFormat="1" applyFont="1" applyFill="1" applyBorder="1" applyAlignment="1" applyProtection="1">
      <alignment horizontal="left" vertical="center" wrapText="1"/>
    </xf>
    <xf numFmtId="2" fontId="9" fillId="9" borderId="3" xfId="0" quotePrefix="1" applyNumberFormat="1" applyFont="1" applyFill="1" applyBorder="1" applyAlignment="1">
      <alignment horizontal="left" vertical="center"/>
    </xf>
    <xf numFmtId="1" fontId="10" fillId="8" borderId="3" xfId="0" applyNumberFormat="1" applyFont="1" applyFill="1" applyBorder="1" applyAlignment="1" applyProtection="1">
      <alignment horizontal="left" vertical="center" wrapText="1"/>
    </xf>
    <xf numFmtId="1" fontId="8" fillId="8" borderId="3" xfId="0" applyNumberFormat="1" applyFont="1" applyFill="1" applyBorder="1" applyAlignment="1" applyProtection="1">
      <alignment horizontal="left" vertical="center" wrapText="1"/>
    </xf>
    <xf numFmtId="1" fontId="10" fillId="7" borderId="3" xfId="0" applyNumberFormat="1" applyFont="1" applyFill="1" applyBorder="1" applyAlignment="1" applyProtection="1">
      <alignment horizontal="left" vertical="center" wrapText="1"/>
    </xf>
    <xf numFmtId="1" fontId="8" fillId="7" borderId="3" xfId="0" applyNumberFormat="1" applyFont="1" applyFill="1" applyBorder="1" applyAlignment="1" applyProtection="1">
      <alignment horizontal="left" vertical="center" wrapText="1"/>
    </xf>
    <xf numFmtId="1" fontId="8" fillId="2" borderId="3" xfId="0" quotePrefix="1" applyNumberFormat="1" applyFont="1" applyFill="1" applyBorder="1" applyAlignment="1">
      <alignment horizontal="left" vertical="center"/>
    </xf>
    <xf numFmtId="1" fontId="9" fillId="2" borderId="3" xfId="0" quotePrefix="1" applyNumberFormat="1" applyFont="1" applyFill="1" applyBorder="1" applyAlignment="1">
      <alignment horizontal="left" vertical="center"/>
    </xf>
    <xf numFmtId="1" fontId="8" fillId="7" borderId="3" xfId="0" quotePrefix="1" applyNumberFormat="1" applyFont="1" applyFill="1" applyBorder="1" applyAlignment="1">
      <alignment horizontal="left" vertical="center"/>
    </xf>
    <xf numFmtId="1" fontId="9" fillId="7" borderId="3" xfId="0" quotePrefix="1" applyNumberFormat="1" applyFont="1" applyFill="1" applyBorder="1" applyAlignment="1">
      <alignment horizontal="left" vertical="center"/>
    </xf>
    <xf numFmtId="1" fontId="8" fillId="9" borderId="3" xfId="0" quotePrefix="1" applyNumberFormat="1" applyFont="1" applyFill="1" applyBorder="1" applyAlignment="1">
      <alignment horizontal="left" vertical="center"/>
    </xf>
    <xf numFmtId="1" fontId="9" fillId="9" borderId="3" xfId="0" quotePrefix="1" applyNumberFormat="1" applyFont="1" applyFill="1" applyBorder="1" applyAlignment="1">
      <alignment horizontal="left" vertical="center"/>
    </xf>
    <xf numFmtId="1" fontId="8" fillId="9" borderId="3" xfId="0" applyNumberFormat="1" applyFont="1" applyFill="1" applyBorder="1" applyAlignment="1" applyProtection="1">
      <alignment horizontal="left" vertical="center" wrapText="1"/>
    </xf>
    <xf numFmtId="1" fontId="8" fillId="8" borderId="1" xfId="0" applyNumberFormat="1" applyFont="1" applyFill="1" applyBorder="1" applyAlignment="1" applyProtection="1">
      <alignment horizontal="left" vertical="center" wrapText="1"/>
    </xf>
    <xf numFmtId="1" fontId="8" fillId="8" borderId="3" xfId="0" quotePrefix="1" applyNumberFormat="1" applyFont="1" applyFill="1" applyBorder="1" applyAlignment="1">
      <alignment horizontal="left" vertical="center"/>
    </xf>
    <xf numFmtId="1" fontId="9" fillId="8" borderId="3" xfId="0" quotePrefix="1" applyNumberFormat="1" applyFont="1" applyFill="1" applyBorder="1" applyAlignment="1">
      <alignment horizontal="left" vertical="center"/>
    </xf>
    <xf numFmtId="1" fontId="8" fillId="5" borderId="1" xfId="0" applyNumberFormat="1" applyFont="1" applyFill="1" applyBorder="1" applyAlignment="1" applyProtection="1">
      <alignment horizontal="left" vertical="center" wrapText="1"/>
    </xf>
    <xf numFmtId="1" fontId="8" fillId="5" borderId="3" xfId="0" applyNumberFormat="1" applyFont="1" applyFill="1" applyBorder="1" applyAlignment="1" applyProtection="1">
      <alignment horizontal="left" vertical="center" wrapText="1"/>
    </xf>
    <xf numFmtId="1" fontId="9" fillId="5" borderId="3" xfId="0" quotePrefix="1" applyNumberFormat="1" applyFont="1" applyFill="1" applyBorder="1" applyAlignment="1">
      <alignment horizontal="left" vertical="center"/>
    </xf>
    <xf numFmtId="1" fontId="8" fillId="2" borderId="1" xfId="0" applyNumberFormat="1" applyFont="1" applyFill="1" applyBorder="1" applyAlignment="1" applyProtection="1">
      <alignment horizontal="left" vertical="center" wrapText="1"/>
    </xf>
    <xf numFmtId="1" fontId="8" fillId="2" borderId="3" xfId="0" applyNumberFormat="1" applyFont="1" applyFill="1" applyBorder="1" applyAlignment="1" applyProtection="1">
      <alignment horizontal="left" vertical="center" wrapText="1"/>
    </xf>
    <xf numFmtId="1" fontId="19" fillId="5" borderId="1" xfId="0" applyNumberFormat="1" applyFont="1" applyFill="1" applyBorder="1"/>
    <xf numFmtId="1" fontId="8" fillId="5" borderId="3" xfId="0" quotePrefix="1" applyNumberFormat="1" applyFont="1" applyFill="1" applyBorder="1" applyAlignment="1">
      <alignment horizontal="left" vertical="center"/>
    </xf>
    <xf numFmtId="1" fontId="19" fillId="0" borderId="1" xfId="0" applyNumberFormat="1" applyFont="1" applyBorder="1"/>
    <xf numFmtId="1" fontId="19" fillId="0" borderId="3" xfId="0" applyNumberFormat="1" applyFont="1" applyBorder="1"/>
    <xf numFmtId="1" fontId="8" fillId="2" borderId="3" xfId="0" applyNumberFormat="1" applyFont="1" applyFill="1" applyBorder="1" applyAlignment="1" applyProtection="1">
      <alignment horizontal="left" vertical="center"/>
    </xf>
    <xf numFmtId="1" fontId="10" fillId="2" borderId="3" xfId="0" applyNumberFormat="1" applyFont="1" applyFill="1" applyBorder="1" applyAlignment="1" applyProtection="1">
      <alignment horizontal="left" vertical="center"/>
    </xf>
    <xf numFmtId="1" fontId="19" fillId="0" borderId="3" xfId="0" applyNumberFormat="1" applyFont="1" applyBorder="1" applyAlignment="1">
      <alignment horizontal="left"/>
    </xf>
    <xf numFmtId="1" fontId="19" fillId="5" borderId="3" xfId="0" applyNumberFormat="1" applyFont="1" applyFill="1" applyBorder="1"/>
    <xf numFmtId="1" fontId="19" fillId="5" borderId="3" xfId="0" applyNumberFormat="1" applyFont="1" applyFill="1" applyBorder="1" applyAlignment="1">
      <alignment horizontal="left"/>
    </xf>
    <xf numFmtId="1" fontId="19" fillId="2" borderId="3" xfId="0" applyNumberFormat="1" applyFont="1" applyFill="1" applyBorder="1"/>
    <xf numFmtId="1" fontId="19" fillId="2" borderId="3" xfId="0" applyNumberFormat="1" applyFont="1" applyFill="1" applyBorder="1" applyAlignment="1">
      <alignment horizontal="left"/>
    </xf>
    <xf numFmtId="1" fontId="19" fillId="8" borderId="3" xfId="0" applyNumberFormat="1" applyFont="1" applyFill="1" applyBorder="1"/>
    <xf numFmtId="1" fontId="19" fillId="8" borderId="3" xfId="0" applyNumberFormat="1" applyFont="1" applyFill="1" applyBorder="1" applyAlignment="1">
      <alignment horizontal="left"/>
    </xf>
    <xf numFmtId="1" fontId="19" fillId="0" borderId="3" xfId="0" applyNumberFormat="1" applyFont="1" applyFill="1" applyBorder="1" applyAlignment="1">
      <alignment horizontal="left"/>
    </xf>
    <xf numFmtId="0" fontId="6" fillId="11" borderId="3" xfId="0" applyNumberFormat="1" applyFont="1" applyFill="1" applyBorder="1" applyAlignment="1" applyProtection="1">
      <alignment horizontal="left" vertical="center" wrapText="1"/>
    </xf>
    <xf numFmtId="0" fontId="6" fillId="11" borderId="4" xfId="0" applyNumberFormat="1" applyFont="1" applyFill="1" applyBorder="1" applyAlignment="1" applyProtection="1">
      <alignment horizontal="left" vertical="center" wrapText="1"/>
    </xf>
    <xf numFmtId="4" fontId="6" fillId="11" borderId="4" xfId="0" applyNumberFormat="1" applyFont="1" applyFill="1" applyBorder="1" applyAlignment="1">
      <alignment horizontal="right"/>
    </xf>
    <xf numFmtId="0" fontId="10" fillId="11" borderId="3" xfId="0" applyNumberFormat="1" applyFont="1" applyFill="1" applyBorder="1" applyAlignment="1" applyProtection="1">
      <alignment horizontal="left" vertical="center" wrapText="1"/>
    </xf>
    <xf numFmtId="0" fontId="10" fillId="11" borderId="3" xfId="0" quotePrefix="1" applyFont="1" applyFill="1" applyBorder="1" applyAlignment="1">
      <alignment horizontal="left" vertical="center"/>
    </xf>
    <xf numFmtId="0" fontId="18" fillId="11" borderId="3" xfId="0" quotePrefix="1" applyFont="1" applyFill="1" applyBorder="1" applyAlignment="1">
      <alignment horizontal="left" vertical="center"/>
    </xf>
    <xf numFmtId="4" fontId="6" fillId="11" borderId="3" xfId="0" applyNumberFormat="1" applyFont="1" applyFill="1" applyBorder="1" applyAlignment="1">
      <alignment horizontal="right"/>
    </xf>
    <xf numFmtId="1" fontId="6" fillId="11" borderId="3" xfId="0" applyNumberFormat="1" applyFont="1" applyFill="1" applyBorder="1" applyAlignment="1" applyProtection="1">
      <alignment horizontal="left" vertical="center" wrapText="1"/>
    </xf>
    <xf numFmtId="2" fontId="6" fillId="11" borderId="4" xfId="0" applyNumberFormat="1" applyFont="1" applyFill="1" applyBorder="1" applyAlignment="1" applyProtection="1">
      <alignment horizontal="left" vertical="center" wrapText="1"/>
    </xf>
    <xf numFmtId="1" fontId="19" fillId="11" borderId="3" xfId="0" applyNumberFormat="1" applyFont="1" applyFill="1" applyBorder="1"/>
    <xf numFmtId="1" fontId="19" fillId="11" borderId="3" xfId="0" applyNumberFormat="1" applyFont="1" applyFill="1" applyBorder="1" applyAlignment="1">
      <alignment horizontal="left"/>
    </xf>
    <xf numFmtId="4" fontId="19" fillId="11" borderId="3" xfId="0" applyNumberFormat="1" applyFont="1" applyFill="1" applyBorder="1"/>
    <xf numFmtId="0" fontId="3" fillId="12" borderId="4" xfId="0" applyNumberFormat="1" applyFont="1" applyFill="1" applyBorder="1" applyAlignment="1" applyProtection="1">
      <alignment horizontal="left" vertical="center" wrapText="1"/>
    </xf>
    <xf numFmtId="4" fontId="3" fillId="12" borderId="4" xfId="0" applyNumberFormat="1" applyFont="1" applyFill="1" applyBorder="1" applyAlignment="1">
      <alignment horizontal="right"/>
    </xf>
    <xf numFmtId="3" fontId="3" fillId="12" borderId="4" xfId="0" applyNumberFormat="1" applyFont="1" applyFill="1" applyBorder="1" applyAlignment="1">
      <alignment horizontal="right"/>
    </xf>
    <xf numFmtId="0" fontId="6" fillId="13" borderId="4" xfId="0" applyNumberFormat="1" applyFont="1" applyFill="1" applyBorder="1" applyAlignment="1" applyProtection="1">
      <alignment horizontal="left" vertical="center" wrapText="1"/>
    </xf>
    <xf numFmtId="2" fontId="6" fillId="13" borderId="4" xfId="0" applyNumberFormat="1" applyFont="1" applyFill="1" applyBorder="1" applyAlignment="1">
      <alignment horizontal="right"/>
    </xf>
    <xf numFmtId="4" fontId="6" fillId="13" borderId="4" xfId="0" applyNumberFormat="1" applyFont="1" applyFill="1" applyBorder="1" applyAlignment="1">
      <alignment horizontal="right"/>
    </xf>
    <xf numFmtId="0" fontId="6" fillId="13" borderId="1" xfId="0" applyNumberFormat="1" applyFont="1" applyFill="1" applyBorder="1" applyAlignment="1" applyProtection="1">
      <alignment horizontal="left" vertical="center" wrapText="1" indent="1"/>
    </xf>
    <xf numFmtId="0" fontId="6" fillId="13" borderId="2" xfId="0" applyNumberFormat="1" applyFont="1" applyFill="1" applyBorder="1" applyAlignment="1" applyProtection="1">
      <alignment horizontal="left" vertical="center" wrapText="1" indent="1"/>
    </xf>
    <xf numFmtId="0" fontId="6" fillId="13" borderId="4" xfId="0" applyNumberFormat="1" applyFont="1" applyFill="1" applyBorder="1" applyAlignment="1" applyProtection="1">
      <alignment horizontal="left" vertical="center" wrapText="1" inden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0" fontId="6" fillId="13" borderId="4" xfId="0" applyNumberFormat="1" applyFont="1" applyFill="1" applyBorder="1" applyAlignment="1" applyProtection="1">
      <alignment horizontal="left" vertical="center" wrapText="1"/>
    </xf>
    <xf numFmtId="0" fontId="23" fillId="0" borderId="0" xfId="0" applyFont="1"/>
    <xf numFmtId="9" fontId="0" fillId="0" borderId="0" xfId="0" applyNumberFormat="1"/>
    <xf numFmtId="0" fontId="10" fillId="0" borderId="1" xfId="0" quotePrefix="1" applyFont="1" applyBorder="1" applyAlignment="1">
      <alignment horizontal="left" vertical="center"/>
    </xf>
    <xf numFmtId="0" fontId="8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vertical="center" wrapText="1"/>
    </xf>
    <xf numFmtId="0" fontId="12" fillId="0" borderId="0" xfId="0" applyFont="1" applyAlignment="1">
      <alignment wrapText="1"/>
    </xf>
    <xf numFmtId="0" fontId="10" fillId="3" borderId="1" xfId="0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vertical="center" wrapText="1"/>
    </xf>
    <xf numFmtId="0" fontId="8" fillId="3" borderId="2" xfId="0" applyNumberFormat="1" applyFont="1" applyFill="1" applyBorder="1" applyAlignment="1" applyProtection="1">
      <alignment vertical="center"/>
    </xf>
    <xf numFmtId="0" fontId="10" fillId="0" borderId="1" xfId="0" applyNumberFormat="1" applyFont="1" applyFill="1" applyBorder="1" applyAlignment="1" applyProtection="1">
      <alignment horizontal="left" vertical="center" wrapText="1"/>
    </xf>
    <xf numFmtId="0" fontId="8" fillId="0" borderId="2" xfId="0" applyNumberFormat="1" applyFont="1" applyFill="1" applyBorder="1" applyAlignment="1" applyProtection="1">
      <alignment vertical="center" wrapText="1"/>
    </xf>
    <xf numFmtId="0" fontId="10" fillId="0" borderId="1" xfId="0" quotePrefix="1" applyFont="1" applyFill="1" applyBorder="1" applyAlignment="1">
      <alignment horizontal="left" vertical="center"/>
    </xf>
    <xf numFmtId="0" fontId="10" fillId="0" borderId="1" xfId="0" quotePrefix="1" applyNumberFormat="1" applyFont="1" applyFill="1" applyBorder="1" applyAlignment="1" applyProtection="1">
      <alignment horizontal="left" vertical="center" wrapText="1"/>
    </xf>
    <xf numFmtId="0" fontId="10" fillId="3" borderId="1" xfId="0" quotePrefix="1" applyNumberFormat="1" applyFont="1" applyFill="1" applyBorder="1" applyAlignment="1" applyProtection="1">
      <alignment horizontal="left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4" fillId="0" borderId="0" xfId="0" applyNumberFormat="1" applyFont="1" applyFill="1" applyBorder="1" applyAlignment="1" applyProtection="1">
      <alignment wrapText="1"/>
    </xf>
    <xf numFmtId="0" fontId="15" fillId="0" borderId="0" xfId="0" applyNumberFormat="1" applyFont="1" applyFill="1" applyBorder="1" applyAlignment="1" applyProtection="1">
      <alignment wrapText="1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0" fontId="10" fillId="4" borderId="2" xfId="0" applyNumberFormat="1" applyFont="1" applyFill="1" applyBorder="1" applyAlignment="1" applyProtection="1">
      <alignment horizontal="left" vertical="center" wrapText="1"/>
    </xf>
    <xf numFmtId="0" fontId="10" fillId="4" borderId="4" xfId="0" applyNumberFormat="1" applyFont="1" applyFill="1" applyBorder="1" applyAlignment="1" applyProtection="1">
      <alignment horizontal="left" vertical="center" wrapText="1"/>
    </xf>
    <xf numFmtId="0" fontId="10" fillId="3" borderId="2" xfId="0" applyNumberFormat="1" applyFont="1" applyFill="1" applyBorder="1" applyAlignment="1" applyProtection="1">
      <alignment horizontal="left" vertical="center" wrapText="1"/>
    </xf>
    <xf numFmtId="0" fontId="10" fillId="3" borderId="4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2" fontId="19" fillId="11" borderId="1" xfId="0" applyNumberFormat="1" applyFont="1" applyFill="1" applyBorder="1" applyAlignment="1">
      <alignment horizontal="center"/>
    </xf>
    <xf numFmtId="2" fontId="19" fillId="11" borderId="2" xfId="0" applyNumberFormat="1" applyFont="1" applyFill="1" applyBorder="1" applyAlignment="1">
      <alignment horizontal="center"/>
    </xf>
    <xf numFmtId="2" fontId="19" fillId="11" borderId="4" xfId="0" applyNumberFormat="1" applyFont="1" applyFill="1" applyBorder="1" applyAlignment="1">
      <alignment horizontal="center"/>
    </xf>
    <xf numFmtId="0" fontId="12" fillId="0" borderId="0" xfId="0" applyFont="1" applyAlignment="1">
      <alignment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19" fillId="2" borderId="0" xfId="0" applyFont="1" applyFill="1" applyAlignment="1">
      <alignment vertical="center" wrapText="1"/>
    </xf>
    <xf numFmtId="2" fontId="2" fillId="0" borderId="0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6" fillId="6" borderId="1" xfId="0" applyNumberFormat="1" applyFont="1" applyFill="1" applyBorder="1" applyAlignment="1" applyProtection="1">
      <alignment horizontal="left" vertical="center" wrapText="1" indent="1"/>
    </xf>
    <xf numFmtId="0" fontId="6" fillId="6" borderId="2" xfId="0" applyNumberFormat="1" applyFont="1" applyFill="1" applyBorder="1" applyAlignment="1" applyProtection="1">
      <alignment horizontal="left" vertical="center" wrapText="1" indent="1"/>
    </xf>
    <xf numFmtId="0" fontId="6" fillId="6" borderId="4" xfId="0" applyNumberFormat="1" applyFont="1" applyFill="1" applyBorder="1" applyAlignment="1" applyProtection="1">
      <alignment horizontal="left" vertical="center" wrapText="1" indent="1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2" xfId="0" applyNumberFormat="1" applyFont="1" applyFill="1" applyBorder="1" applyAlignment="1" applyProtection="1">
      <alignment horizontal="left"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17" fillId="2" borderId="1" xfId="0" applyNumberFormat="1" applyFont="1" applyFill="1" applyBorder="1" applyAlignment="1" applyProtection="1">
      <alignment horizontal="left" vertical="center" wrapText="1"/>
    </xf>
    <xf numFmtId="0" fontId="17" fillId="2" borderId="2" xfId="0" applyNumberFormat="1" applyFont="1" applyFill="1" applyBorder="1" applyAlignment="1" applyProtection="1">
      <alignment horizontal="left" vertical="center" wrapText="1"/>
    </xf>
    <xf numFmtId="0" fontId="17" fillId="2" borderId="4" xfId="0" applyNumberFormat="1" applyFont="1" applyFill="1" applyBorder="1" applyAlignment="1" applyProtection="1">
      <alignment horizontal="left" vertical="center" wrapText="1"/>
    </xf>
    <xf numFmtId="0" fontId="6" fillId="13" borderId="1" xfId="0" applyNumberFormat="1" applyFont="1" applyFill="1" applyBorder="1" applyAlignment="1" applyProtection="1">
      <alignment horizontal="left" vertical="center" wrapText="1"/>
    </xf>
    <xf numFmtId="0" fontId="6" fillId="13" borderId="2" xfId="0" applyNumberFormat="1" applyFont="1" applyFill="1" applyBorder="1" applyAlignment="1" applyProtection="1">
      <alignment horizontal="left" vertical="center" wrapText="1"/>
    </xf>
    <xf numFmtId="0" fontId="6" fillId="13" borderId="4" xfId="0" applyNumberFormat="1" applyFont="1" applyFill="1" applyBorder="1" applyAlignment="1" applyProtection="1">
      <alignment horizontal="left" vertical="center" wrapText="1"/>
    </xf>
    <xf numFmtId="0" fontId="0" fillId="0" borderId="0" xfId="0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workbookViewId="0">
      <selection activeCell="J13" sqref="J13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222" t="str">
        <f>'Prihodi i rashodi po izvorima'!$A$1</f>
        <v>FINANCIJSKI PLAN PRORAČUNSKOG KORISNIKA JEDINICE LOKALNE I PODRUČNE (REGIONALNE) SAMOUPRAVE 
ZA 2025. I PROJEKCIJA ZA 2026. I 2027. GODINU</v>
      </c>
      <c r="B1" s="222"/>
      <c r="C1" s="222"/>
      <c r="D1" s="222"/>
      <c r="E1" s="222"/>
      <c r="F1" s="222"/>
      <c r="G1" s="222"/>
      <c r="H1" s="222"/>
      <c r="I1" s="222"/>
      <c r="J1" s="222"/>
    </row>
    <row r="2" spans="1:10" ht="18" x14ac:dyDescent="0.25">
      <c r="A2" s="24"/>
      <c r="B2" s="24"/>
      <c r="C2" s="24"/>
      <c r="D2" s="24"/>
      <c r="E2" s="24"/>
      <c r="F2" s="233" t="s">
        <v>181</v>
      </c>
      <c r="G2" s="234"/>
      <c r="H2" s="234"/>
      <c r="I2" s="24"/>
      <c r="J2" s="24"/>
    </row>
    <row r="3" spans="1:10" ht="15.75" x14ac:dyDescent="0.25">
      <c r="A3" s="222" t="s">
        <v>25</v>
      </c>
      <c r="B3" s="222"/>
      <c r="C3" s="222"/>
      <c r="D3" s="222"/>
      <c r="E3" s="222"/>
      <c r="F3" s="222"/>
      <c r="G3" s="222"/>
      <c r="H3" s="222"/>
      <c r="I3" s="223"/>
      <c r="J3" s="223"/>
    </row>
    <row r="4" spans="1:10" ht="18" x14ac:dyDescent="0.25">
      <c r="A4" s="24"/>
      <c r="B4" s="24"/>
      <c r="C4" s="24"/>
      <c r="D4" s="24"/>
      <c r="E4" s="24"/>
      <c r="F4" s="24"/>
      <c r="G4" s="24"/>
      <c r="H4" s="24"/>
      <c r="I4" s="5"/>
      <c r="J4" s="5"/>
    </row>
    <row r="5" spans="1:10" ht="15.75" x14ac:dyDescent="0.25">
      <c r="A5" s="222" t="s">
        <v>34</v>
      </c>
      <c r="B5" s="224"/>
      <c r="C5" s="224"/>
      <c r="D5" s="224"/>
      <c r="E5" s="224"/>
      <c r="F5" s="224"/>
      <c r="G5" s="224"/>
      <c r="H5" s="224"/>
      <c r="I5" s="224"/>
      <c r="J5" s="224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6" t="s">
        <v>155</v>
      </c>
    </row>
    <row r="7" spans="1:10" ht="25.5" x14ac:dyDescent="0.25">
      <c r="A7" s="28"/>
      <c r="B7" s="29"/>
      <c r="C7" s="29"/>
      <c r="D7" s="30"/>
      <c r="E7" s="31"/>
      <c r="F7" s="3" t="s">
        <v>177</v>
      </c>
      <c r="G7" s="3" t="s">
        <v>178</v>
      </c>
      <c r="H7" s="3" t="s">
        <v>179</v>
      </c>
      <c r="I7" s="3" t="s">
        <v>145</v>
      </c>
      <c r="J7" s="3" t="s">
        <v>180</v>
      </c>
    </row>
    <row r="8" spans="1:10" x14ac:dyDescent="0.25">
      <c r="A8" s="225" t="s">
        <v>0</v>
      </c>
      <c r="B8" s="226"/>
      <c r="C8" s="226"/>
      <c r="D8" s="226"/>
      <c r="E8" s="227"/>
      <c r="F8" s="135">
        <f>F9+F10</f>
        <v>622269.12</v>
      </c>
      <c r="G8" s="135">
        <f>G9+G10</f>
        <v>601550</v>
      </c>
      <c r="H8" s="135">
        <f>H9+H10</f>
        <v>858810</v>
      </c>
      <c r="I8" s="135">
        <f>I9+I10</f>
        <v>882785</v>
      </c>
      <c r="J8" s="135">
        <f>J9+J10</f>
        <v>888785</v>
      </c>
    </row>
    <row r="9" spans="1:10" x14ac:dyDescent="0.25">
      <c r="A9" s="228" t="s">
        <v>154</v>
      </c>
      <c r="B9" s="229"/>
      <c r="C9" s="229"/>
      <c r="D9" s="229"/>
      <c r="E9" s="221"/>
      <c r="F9" s="136">
        <v>622269.12</v>
      </c>
      <c r="G9" s="136">
        <v>601550</v>
      </c>
      <c r="H9" s="136">
        <v>858810</v>
      </c>
      <c r="I9" s="136">
        <v>882785</v>
      </c>
      <c r="J9" s="136">
        <v>888785</v>
      </c>
    </row>
    <row r="10" spans="1:10" x14ac:dyDescent="0.25">
      <c r="A10" s="230" t="s">
        <v>153</v>
      </c>
      <c r="B10" s="221"/>
      <c r="C10" s="221"/>
      <c r="D10" s="221"/>
      <c r="E10" s="221"/>
      <c r="F10" s="136"/>
      <c r="G10" s="136"/>
      <c r="H10" s="136"/>
      <c r="I10" s="136"/>
      <c r="J10" s="136"/>
    </row>
    <row r="11" spans="1:10" x14ac:dyDescent="0.25">
      <c r="A11" s="37" t="s">
        <v>2</v>
      </c>
      <c r="B11" s="109"/>
      <c r="C11" s="109"/>
      <c r="D11" s="109"/>
      <c r="E11" s="109"/>
      <c r="F11" s="135">
        <f>F12+F13</f>
        <v>625771.53</v>
      </c>
      <c r="G11" s="135">
        <f>G12+G13</f>
        <v>601550</v>
      </c>
      <c r="H11" s="135">
        <f>H12+H13</f>
        <v>858810</v>
      </c>
      <c r="I11" s="135">
        <f>I12+I13</f>
        <v>882785</v>
      </c>
      <c r="J11" s="135">
        <f>J12+J13</f>
        <v>888785</v>
      </c>
    </row>
    <row r="12" spans="1:10" x14ac:dyDescent="0.25">
      <c r="A12" s="231" t="s">
        <v>152</v>
      </c>
      <c r="B12" s="229"/>
      <c r="C12" s="229"/>
      <c r="D12" s="229"/>
      <c r="E12" s="229"/>
      <c r="F12" s="136">
        <v>614631.30000000005</v>
      </c>
      <c r="G12" s="136">
        <v>597065</v>
      </c>
      <c r="H12" s="136">
        <v>855510</v>
      </c>
      <c r="I12" s="136">
        <v>879485</v>
      </c>
      <c r="J12" s="137">
        <v>885485</v>
      </c>
    </row>
    <row r="13" spans="1:10" x14ac:dyDescent="0.25">
      <c r="A13" s="220" t="s">
        <v>151</v>
      </c>
      <c r="B13" s="221"/>
      <c r="C13" s="221"/>
      <c r="D13" s="221"/>
      <c r="E13" s="221"/>
      <c r="F13" s="138">
        <v>11140.23</v>
      </c>
      <c r="G13" s="138">
        <v>4485</v>
      </c>
      <c r="H13" s="138">
        <v>3300</v>
      </c>
      <c r="I13" s="138">
        <v>3300</v>
      </c>
      <c r="J13" s="137">
        <v>3300</v>
      </c>
    </row>
    <row r="14" spans="1:10" x14ac:dyDescent="0.25">
      <c r="A14" s="232" t="s">
        <v>3</v>
      </c>
      <c r="B14" s="226"/>
      <c r="C14" s="226"/>
      <c r="D14" s="226"/>
      <c r="E14" s="226"/>
      <c r="F14" s="135">
        <f>F8-F11</f>
        <v>-3502.4100000000326</v>
      </c>
      <c r="G14" s="135">
        <f>G8-G11</f>
        <v>0</v>
      </c>
      <c r="H14" s="135">
        <f>H8-H11</f>
        <v>0</v>
      </c>
      <c r="I14" s="135">
        <f>I8-I11</f>
        <v>0</v>
      </c>
      <c r="J14" s="135">
        <f>J8-J11</f>
        <v>0</v>
      </c>
    </row>
    <row r="15" spans="1:10" ht="18" x14ac:dyDescent="0.25">
      <c r="A15" s="24"/>
      <c r="B15" s="22"/>
      <c r="C15" s="22"/>
      <c r="D15" s="22"/>
      <c r="E15" s="22"/>
      <c r="F15" s="22"/>
      <c r="G15" s="22"/>
      <c r="H15" s="23"/>
      <c r="I15" s="23"/>
      <c r="J15" s="23"/>
    </row>
    <row r="16" spans="1:10" ht="15.75" x14ac:dyDescent="0.25">
      <c r="A16" s="222" t="s">
        <v>35</v>
      </c>
      <c r="B16" s="224"/>
      <c r="C16" s="224"/>
      <c r="D16" s="224"/>
      <c r="E16" s="224"/>
      <c r="F16" s="224"/>
      <c r="G16" s="224"/>
      <c r="H16" s="224"/>
      <c r="I16" s="224"/>
      <c r="J16" s="224"/>
    </row>
    <row r="17" spans="1:10" ht="18" x14ac:dyDescent="0.25">
      <c r="A17" s="24"/>
      <c r="B17" s="22"/>
      <c r="C17" s="22"/>
      <c r="D17" s="22"/>
      <c r="E17" s="22"/>
      <c r="F17" s="22"/>
      <c r="G17" s="22"/>
      <c r="H17" s="23"/>
      <c r="I17" s="23"/>
      <c r="J17" s="23"/>
    </row>
    <row r="18" spans="1:10" ht="25.5" x14ac:dyDescent="0.25">
      <c r="A18" s="28"/>
      <c r="B18" s="29"/>
      <c r="C18" s="29"/>
      <c r="D18" s="30"/>
      <c r="E18" s="31"/>
      <c r="F18" s="3" t="s">
        <v>177</v>
      </c>
      <c r="G18" s="3" t="s">
        <v>178</v>
      </c>
      <c r="H18" s="3" t="s">
        <v>179</v>
      </c>
      <c r="I18" s="3" t="s">
        <v>145</v>
      </c>
      <c r="J18" s="3" t="s">
        <v>180</v>
      </c>
    </row>
    <row r="19" spans="1:10" x14ac:dyDescent="0.25">
      <c r="A19" s="220" t="s">
        <v>150</v>
      </c>
      <c r="B19" s="221"/>
      <c r="C19" s="221"/>
      <c r="D19" s="221"/>
      <c r="E19" s="221"/>
      <c r="F19" s="34"/>
      <c r="G19" s="34"/>
      <c r="H19" s="34"/>
      <c r="I19" s="34"/>
      <c r="J19" s="33"/>
    </row>
    <row r="20" spans="1:10" x14ac:dyDescent="0.25">
      <c r="A20" s="220" t="s">
        <v>149</v>
      </c>
      <c r="B20" s="221"/>
      <c r="C20" s="221"/>
      <c r="D20" s="221"/>
      <c r="E20" s="221"/>
      <c r="F20" s="34"/>
      <c r="G20" s="34"/>
      <c r="H20" s="34"/>
      <c r="I20" s="34"/>
      <c r="J20" s="33"/>
    </row>
    <row r="21" spans="1:10" x14ac:dyDescent="0.25">
      <c r="A21" s="232" t="s">
        <v>5</v>
      </c>
      <c r="B21" s="226"/>
      <c r="C21" s="226"/>
      <c r="D21" s="226"/>
      <c r="E21" s="226"/>
      <c r="F21" s="32">
        <f>F19-F20</f>
        <v>0</v>
      </c>
      <c r="G21" s="32">
        <f>G19-G20</f>
        <v>0</v>
      </c>
      <c r="H21" s="32">
        <f>H19-H20</f>
        <v>0</v>
      </c>
      <c r="I21" s="32">
        <f>I19-I20</f>
        <v>0</v>
      </c>
      <c r="J21" s="32">
        <f>J19-J20</f>
        <v>0</v>
      </c>
    </row>
    <row r="22" spans="1:10" x14ac:dyDescent="0.25">
      <c r="A22" s="232" t="s">
        <v>6</v>
      </c>
      <c r="B22" s="226"/>
      <c r="C22" s="226"/>
      <c r="D22" s="226"/>
      <c r="E22" s="226"/>
      <c r="F22" s="32">
        <f>F14+F21</f>
        <v>-3502.4100000000326</v>
      </c>
      <c r="G22" s="32">
        <f>G14+G21</f>
        <v>0</v>
      </c>
      <c r="H22" s="32">
        <f>H14+H21</f>
        <v>0</v>
      </c>
      <c r="I22" s="32">
        <f>I14+I21</f>
        <v>0</v>
      </c>
      <c r="J22" s="32">
        <f>J14+J21</f>
        <v>0</v>
      </c>
    </row>
    <row r="23" spans="1:10" ht="18" x14ac:dyDescent="0.25">
      <c r="A23" s="21"/>
      <c r="B23" s="22"/>
      <c r="C23" s="22"/>
      <c r="D23" s="22"/>
      <c r="E23" s="22"/>
      <c r="F23" s="22"/>
      <c r="G23" s="22"/>
      <c r="H23" s="23"/>
      <c r="I23" s="23"/>
      <c r="J23" s="23"/>
    </row>
    <row r="24" spans="1:10" ht="15.75" x14ac:dyDescent="0.25">
      <c r="A24" s="222" t="s">
        <v>148</v>
      </c>
      <c r="B24" s="224"/>
      <c r="C24" s="224"/>
      <c r="D24" s="224"/>
      <c r="E24" s="224"/>
      <c r="F24" s="224"/>
      <c r="G24" s="224"/>
      <c r="H24" s="224"/>
      <c r="I24" s="224"/>
      <c r="J24" s="224"/>
    </row>
    <row r="25" spans="1:10" ht="15.75" x14ac:dyDescent="0.25">
      <c r="A25" s="107"/>
      <c r="B25" s="108"/>
      <c r="C25" s="108"/>
      <c r="D25" s="108"/>
      <c r="E25" s="108"/>
      <c r="F25" s="108"/>
      <c r="G25" s="108"/>
      <c r="H25" s="108"/>
      <c r="I25" s="108"/>
      <c r="J25" s="108"/>
    </row>
    <row r="26" spans="1:10" ht="25.5" x14ac:dyDescent="0.25">
      <c r="A26" s="28"/>
      <c r="B26" s="29"/>
      <c r="C26" s="29"/>
      <c r="D26" s="30"/>
      <c r="E26" s="31"/>
      <c r="F26" s="3" t="s">
        <v>177</v>
      </c>
      <c r="G26" s="3" t="s">
        <v>178</v>
      </c>
      <c r="H26" s="3" t="s">
        <v>179</v>
      </c>
      <c r="I26" s="3" t="s">
        <v>145</v>
      </c>
      <c r="J26" s="3" t="s">
        <v>180</v>
      </c>
    </row>
    <row r="27" spans="1:10" ht="15" customHeight="1" x14ac:dyDescent="0.25">
      <c r="A27" s="237" t="s">
        <v>144</v>
      </c>
      <c r="B27" s="238"/>
      <c r="C27" s="238"/>
      <c r="D27" s="238"/>
      <c r="E27" s="239"/>
      <c r="F27" s="112">
        <v>0</v>
      </c>
      <c r="G27" s="112">
        <v>0</v>
      </c>
      <c r="H27" s="112">
        <v>0</v>
      </c>
      <c r="I27" s="112">
        <v>0</v>
      </c>
      <c r="J27" s="111">
        <v>0</v>
      </c>
    </row>
    <row r="28" spans="1:10" ht="15" customHeight="1" x14ac:dyDescent="0.25">
      <c r="A28" s="232" t="s">
        <v>142</v>
      </c>
      <c r="B28" s="226"/>
      <c r="C28" s="226"/>
      <c r="D28" s="226"/>
      <c r="E28" s="226"/>
      <c r="F28" s="123">
        <f>F22+F27</f>
        <v>-3502.4100000000326</v>
      </c>
      <c r="G28" s="123">
        <f>G22+G27</f>
        <v>0</v>
      </c>
      <c r="H28" s="123">
        <f>H22+H27</f>
        <v>0</v>
      </c>
      <c r="I28" s="123"/>
      <c r="J28" s="122"/>
    </row>
    <row r="29" spans="1:10" ht="45" customHeight="1" x14ac:dyDescent="0.25">
      <c r="A29" s="225" t="s">
        <v>147</v>
      </c>
      <c r="B29" s="240"/>
      <c r="C29" s="240"/>
      <c r="D29" s="240"/>
      <c r="E29" s="241"/>
      <c r="F29" s="123">
        <f>F14+F21+F27-F28</f>
        <v>0</v>
      </c>
      <c r="G29" s="123">
        <f>G14+G21+G27-G28</f>
        <v>0</v>
      </c>
      <c r="H29" s="123"/>
      <c r="I29" s="123">
        <f>I14+I21+I27-I28</f>
        <v>0</v>
      </c>
      <c r="J29" s="122">
        <f>J14+J21+J27-J28</f>
        <v>0</v>
      </c>
    </row>
    <row r="30" spans="1:10" ht="15.75" x14ac:dyDescent="0.25">
      <c r="A30" s="121"/>
      <c r="B30" s="120"/>
      <c r="C30" s="120"/>
      <c r="D30" s="120"/>
      <c r="E30" s="120"/>
      <c r="F30" s="120"/>
      <c r="G30" s="120"/>
      <c r="H30" s="120"/>
      <c r="I30" s="120"/>
      <c r="J30" s="120"/>
    </row>
    <row r="31" spans="1:10" ht="15.75" x14ac:dyDescent="0.25">
      <c r="A31" s="242" t="s">
        <v>146</v>
      </c>
      <c r="B31" s="242"/>
      <c r="C31" s="242"/>
      <c r="D31" s="242"/>
      <c r="E31" s="242"/>
      <c r="F31" s="242"/>
      <c r="G31" s="242"/>
      <c r="H31" s="242"/>
      <c r="I31" s="242"/>
      <c r="J31" s="242"/>
    </row>
    <row r="32" spans="1:10" ht="18" x14ac:dyDescent="0.25">
      <c r="A32" s="119"/>
      <c r="B32" s="118"/>
      <c r="C32" s="118"/>
      <c r="D32" s="118"/>
      <c r="E32" s="118"/>
      <c r="F32" s="118"/>
      <c r="G32" s="118"/>
      <c r="H32" s="117"/>
      <c r="I32" s="117"/>
      <c r="J32" s="117"/>
    </row>
    <row r="33" spans="1:10" ht="25.5" x14ac:dyDescent="0.25">
      <c r="A33" s="116"/>
      <c r="B33" s="115"/>
      <c r="C33" s="115"/>
      <c r="D33" s="114"/>
      <c r="E33" s="113"/>
      <c r="F33" s="3" t="s">
        <v>177</v>
      </c>
      <c r="G33" s="3" t="s">
        <v>178</v>
      </c>
      <c r="H33" s="3" t="s">
        <v>179</v>
      </c>
      <c r="I33" s="3" t="s">
        <v>145</v>
      </c>
      <c r="J33" s="3" t="s">
        <v>180</v>
      </c>
    </row>
    <row r="34" spans="1:10" x14ac:dyDescent="0.25">
      <c r="A34" s="237" t="s">
        <v>144</v>
      </c>
      <c r="B34" s="238"/>
      <c r="C34" s="238"/>
      <c r="D34" s="238"/>
      <c r="E34" s="239"/>
      <c r="F34" s="112">
        <v>0</v>
      </c>
      <c r="G34" s="112">
        <f>F37</f>
        <v>0</v>
      </c>
      <c r="H34" s="112">
        <f>G37</f>
        <v>0</v>
      </c>
      <c r="I34" s="112">
        <f>H37</f>
        <v>0</v>
      </c>
      <c r="J34" s="111">
        <f>I37</f>
        <v>0</v>
      </c>
    </row>
    <row r="35" spans="1:10" ht="28.5" customHeight="1" x14ac:dyDescent="0.25">
      <c r="A35" s="237" t="s">
        <v>4</v>
      </c>
      <c r="B35" s="238"/>
      <c r="C35" s="238"/>
      <c r="D35" s="238"/>
      <c r="E35" s="239"/>
      <c r="F35" s="112">
        <v>0</v>
      </c>
      <c r="G35" s="112">
        <v>0</v>
      </c>
      <c r="H35" s="112">
        <v>0</v>
      </c>
      <c r="I35" s="112">
        <v>0</v>
      </c>
      <c r="J35" s="111">
        <v>0</v>
      </c>
    </row>
    <row r="36" spans="1:10" x14ac:dyDescent="0.25">
      <c r="A36" s="237" t="s">
        <v>143</v>
      </c>
      <c r="B36" s="243"/>
      <c r="C36" s="243"/>
      <c r="D36" s="243"/>
      <c r="E36" s="244"/>
      <c r="F36" s="112">
        <v>0</v>
      </c>
      <c r="G36" s="112">
        <v>0</v>
      </c>
      <c r="H36" s="112">
        <v>0</v>
      </c>
      <c r="I36" s="112">
        <v>0</v>
      </c>
      <c r="J36" s="111">
        <v>0</v>
      </c>
    </row>
    <row r="37" spans="1:10" ht="15" customHeight="1" x14ac:dyDescent="0.25">
      <c r="A37" s="232" t="s">
        <v>142</v>
      </c>
      <c r="B37" s="226"/>
      <c r="C37" s="226"/>
      <c r="D37" s="226"/>
      <c r="E37" s="226"/>
      <c r="F37" s="35">
        <f>F34-F35+F36</f>
        <v>0</v>
      </c>
      <c r="G37" s="35">
        <f>G34-G35+G36</f>
        <v>0</v>
      </c>
      <c r="H37" s="35"/>
      <c r="I37" s="35">
        <f>I34-I35+I36</f>
        <v>0</v>
      </c>
      <c r="J37" s="110">
        <f>J34-J35+J36</f>
        <v>0</v>
      </c>
    </row>
    <row r="38" spans="1:10" ht="17.25" customHeight="1" x14ac:dyDescent="0.25"/>
    <row r="39" spans="1:10" x14ac:dyDescent="0.25">
      <c r="A39" s="235"/>
      <c r="B39" s="236"/>
      <c r="C39" s="236"/>
      <c r="D39" s="236"/>
      <c r="E39" s="236"/>
      <c r="F39" s="236"/>
      <c r="G39" s="236"/>
      <c r="H39" s="236"/>
      <c r="I39" s="236"/>
      <c r="J39" s="236"/>
    </row>
    <row r="40" spans="1:10" ht="9" customHeight="1" x14ac:dyDescent="0.25"/>
  </sheetData>
  <mergeCells count="25">
    <mergeCell ref="A39:J39"/>
    <mergeCell ref="A21:E21"/>
    <mergeCell ref="A22:E22"/>
    <mergeCell ref="A24:J24"/>
    <mergeCell ref="A27:E27"/>
    <mergeCell ref="A28:E28"/>
    <mergeCell ref="A29:E29"/>
    <mergeCell ref="A31:J31"/>
    <mergeCell ref="A34:E34"/>
    <mergeCell ref="A35:E35"/>
    <mergeCell ref="A37:E37"/>
    <mergeCell ref="A36:E36"/>
    <mergeCell ref="A20:E20"/>
    <mergeCell ref="A1:J1"/>
    <mergeCell ref="A3:J3"/>
    <mergeCell ref="A5:J5"/>
    <mergeCell ref="A8:E8"/>
    <mergeCell ref="A9:E9"/>
    <mergeCell ref="A10:E10"/>
    <mergeCell ref="A12:E12"/>
    <mergeCell ref="A13:E13"/>
    <mergeCell ref="A14:E14"/>
    <mergeCell ref="A16:J16"/>
    <mergeCell ref="A19:E19"/>
    <mergeCell ref="F2:H2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3"/>
  <sheetViews>
    <sheetView topLeftCell="A10" workbookViewId="0">
      <selection activeCell="G26" sqref="G26"/>
    </sheetView>
  </sheetViews>
  <sheetFormatPr defaultRowHeight="15" x14ac:dyDescent="0.25"/>
  <cols>
    <col min="1" max="1" width="7.5703125" bestFit="1" customWidth="1"/>
    <col min="2" max="2" width="13.28515625" customWidth="1"/>
    <col min="3" max="3" width="6.140625" bestFit="1" customWidth="1"/>
    <col min="4" max="4" width="29.42578125" customWidth="1"/>
    <col min="5" max="9" width="18.7109375" customWidth="1"/>
  </cols>
  <sheetData>
    <row r="1" spans="1:9" ht="42" customHeight="1" x14ac:dyDescent="0.25">
      <c r="A1" s="222" t="s">
        <v>176</v>
      </c>
      <c r="B1" s="222"/>
      <c r="C1" s="222"/>
      <c r="D1" s="222"/>
      <c r="E1" s="222"/>
      <c r="F1" s="222"/>
      <c r="G1" s="222"/>
      <c r="H1" s="222"/>
      <c r="I1" s="125"/>
    </row>
    <row r="2" spans="1:9" ht="18" customHeight="1" x14ac:dyDescent="0.25">
      <c r="A2" s="4"/>
      <c r="B2" s="4"/>
      <c r="C2" s="4"/>
      <c r="D2" s="251" t="s">
        <v>181</v>
      </c>
      <c r="E2" s="252"/>
      <c r="F2" s="252"/>
      <c r="G2" s="252"/>
      <c r="H2" s="4"/>
      <c r="I2" s="24"/>
    </row>
    <row r="3" spans="1:9" ht="15.75" x14ac:dyDescent="0.25">
      <c r="A3" s="222" t="s">
        <v>25</v>
      </c>
      <c r="B3" s="222"/>
      <c r="C3" s="222"/>
      <c r="D3" s="222"/>
      <c r="E3" s="222"/>
      <c r="F3" s="222"/>
      <c r="G3" s="223"/>
      <c r="H3" s="223"/>
      <c r="I3" s="126"/>
    </row>
    <row r="4" spans="1:9" ht="18" x14ac:dyDescent="0.25">
      <c r="A4" s="4"/>
      <c r="B4" s="4"/>
      <c r="C4" s="4"/>
      <c r="D4" s="4"/>
      <c r="E4" s="4"/>
      <c r="F4" s="5"/>
      <c r="G4" s="5"/>
      <c r="H4" s="5"/>
      <c r="I4" s="5"/>
    </row>
    <row r="5" spans="1:9" ht="18" customHeight="1" x14ac:dyDescent="0.25">
      <c r="A5" s="222" t="s">
        <v>8</v>
      </c>
      <c r="B5" s="224"/>
      <c r="C5" s="224"/>
      <c r="D5" s="224"/>
      <c r="E5" s="224"/>
      <c r="F5" s="224"/>
      <c r="G5" s="224"/>
      <c r="H5" s="224"/>
      <c r="I5" s="127"/>
    </row>
    <row r="6" spans="1:9" ht="18" x14ac:dyDescent="0.25">
      <c r="A6" s="4"/>
      <c r="B6" s="4"/>
      <c r="C6" s="4"/>
      <c r="D6" s="4"/>
      <c r="E6" s="4"/>
      <c r="F6" s="5"/>
      <c r="G6" s="5"/>
      <c r="H6" s="5"/>
      <c r="I6" s="5"/>
    </row>
    <row r="7" spans="1:9" ht="15.75" x14ac:dyDescent="0.25">
      <c r="A7" s="222" t="s">
        <v>1</v>
      </c>
      <c r="B7" s="248"/>
      <c r="C7" s="248"/>
      <c r="D7" s="248"/>
      <c r="E7" s="248"/>
      <c r="F7" s="248"/>
      <c r="G7" s="248"/>
      <c r="H7" s="248"/>
      <c r="I7" s="128"/>
    </row>
    <row r="8" spans="1:9" ht="18" x14ac:dyDescent="0.25">
      <c r="A8" s="4"/>
      <c r="B8" s="4"/>
      <c r="C8" s="4"/>
      <c r="D8" s="4"/>
      <c r="E8" s="4"/>
      <c r="F8" s="5"/>
      <c r="G8" s="5"/>
      <c r="H8" s="5"/>
      <c r="I8" s="5"/>
    </row>
    <row r="9" spans="1:9" ht="25.5" x14ac:dyDescent="0.25">
      <c r="A9" s="20" t="s">
        <v>9</v>
      </c>
      <c r="B9" s="19" t="s">
        <v>10</v>
      </c>
      <c r="C9" s="19" t="s">
        <v>11</v>
      </c>
      <c r="D9" s="19" t="s">
        <v>7</v>
      </c>
      <c r="E9" s="19" t="s">
        <v>182</v>
      </c>
      <c r="F9" s="20" t="s">
        <v>185</v>
      </c>
      <c r="G9" s="20" t="s">
        <v>183</v>
      </c>
      <c r="H9" s="20" t="s">
        <v>160</v>
      </c>
      <c r="I9" s="20" t="s">
        <v>184</v>
      </c>
    </row>
    <row r="10" spans="1:9" ht="15.75" customHeight="1" x14ac:dyDescent="0.25">
      <c r="A10" s="194">
        <v>6</v>
      </c>
      <c r="B10" s="194"/>
      <c r="C10" s="194"/>
      <c r="D10" s="195" t="s">
        <v>12</v>
      </c>
      <c r="E10" s="196">
        <f t="shared" ref="E10:H10" si="0">SUM(E11+E27+E36+E49)</f>
        <v>622269.12</v>
      </c>
      <c r="F10" s="196">
        <f t="shared" ref="F10" si="1">SUM(F11+F27+F36+F49)</f>
        <v>601550</v>
      </c>
      <c r="G10" s="196">
        <f t="shared" si="0"/>
        <v>858810</v>
      </c>
      <c r="H10" s="196">
        <f t="shared" si="0"/>
        <v>882785</v>
      </c>
      <c r="I10" s="196">
        <f t="shared" ref="I10" si="2">SUM(I11+I27+I36+I49)</f>
        <v>888785</v>
      </c>
    </row>
    <row r="11" spans="1:9" ht="38.25" x14ac:dyDescent="0.25">
      <c r="A11" s="64"/>
      <c r="B11" s="64">
        <v>63</v>
      </c>
      <c r="C11" s="65"/>
      <c r="D11" s="47" t="s">
        <v>36</v>
      </c>
      <c r="E11" s="96">
        <f t="shared" ref="E11:H11" si="3">SUM(E15,E18+E12)</f>
        <v>573811.4</v>
      </c>
      <c r="F11" s="96">
        <f t="shared" ref="F11" si="4">SUM(F15,F18+F12)</f>
        <v>562950</v>
      </c>
      <c r="G11" s="96">
        <f t="shared" si="3"/>
        <v>814510</v>
      </c>
      <c r="H11" s="96">
        <f t="shared" si="3"/>
        <v>837885</v>
      </c>
      <c r="I11" s="96">
        <f t="shared" ref="I11" si="5">SUM(I15,I18+I12)</f>
        <v>843885</v>
      </c>
    </row>
    <row r="12" spans="1:9" ht="25.5" x14ac:dyDescent="0.25">
      <c r="A12" s="60"/>
      <c r="B12" s="61">
        <v>633</v>
      </c>
      <c r="C12" s="61"/>
      <c r="D12" s="45" t="s">
        <v>138</v>
      </c>
      <c r="E12" s="97">
        <f t="shared" ref="E12:H12" si="6">SUM(E13:E14)</f>
        <v>2330.87</v>
      </c>
      <c r="F12" s="97">
        <f t="shared" ref="F12" si="7">SUM(F13:F14)</f>
        <v>3000</v>
      </c>
      <c r="G12" s="97">
        <f t="shared" si="6"/>
        <v>3750</v>
      </c>
      <c r="H12" s="97">
        <f t="shared" si="6"/>
        <v>1500</v>
      </c>
      <c r="I12" s="97">
        <f t="shared" ref="I12" si="8">SUM(I13:I14)</f>
        <v>1500</v>
      </c>
    </row>
    <row r="13" spans="1:9" ht="25.5" x14ac:dyDescent="0.25">
      <c r="A13" s="12"/>
      <c r="B13" s="12">
        <v>6331</v>
      </c>
      <c r="C13" s="13"/>
      <c r="D13" s="81" t="s">
        <v>139</v>
      </c>
      <c r="E13" s="92">
        <v>2330.87</v>
      </c>
      <c r="F13" s="92">
        <v>3000</v>
      </c>
      <c r="G13" s="92">
        <v>3750</v>
      </c>
      <c r="H13" s="92">
        <v>1500</v>
      </c>
      <c r="I13" s="92">
        <v>1500</v>
      </c>
    </row>
    <row r="14" spans="1:9" ht="25.5" x14ac:dyDescent="0.25">
      <c r="A14" s="12"/>
      <c r="B14" s="12">
        <v>6332</v>
      </c>
      <c r="C14" s="13"/>
      <c r="D14" s="81" t="s">
        <v>140</v>
      </c>
      <c r="E14" s="92">
        <v>0</v>
      </c>
      <c r="F14" s="92"/>
      <c r="G14" s="92"/>
      <c r="H14" s="92"/>
      <c r="I14" s="92"/>
    </row>
    <row r="15" spans="1:9" ht="25.5" x14ac:dyDescent="0.25">
      <c r="A15" s="60"/>
      <c r="B15" s="61">
        <v>636</v>
      </c>
      <c r="C15" s="61"/>
      <c r="D15" s="45" t="s">
        <v>110</v>
      </c>
      <c r="E15" s="97">
        <f t="shared" ref="E15:H15" si="9">SUM(E16:E17)</f>
        <v>571237.32000000007</v>
      </c>
      <c r="F15" s="97">
        <f t="shared" ref="F15" si="10">SUM(F16:F17)</f>
        <v>559950</v>
      </c>
      <c r="G15" s="97">
        <f t="shared" si="9"/>
        <v>792650</v>
      </c>
      <c r="H15" s="97">
        <f t="shared" si="9"/>
        <v>816385</v>
      </c>
      <c r="I15" s="97">
        <f t="shared" ref="I15" si="11">SUM(I16:I17)</f>
        <v>822385</v>
      </c>
    </row>
    <row r="16" spans="1:9" ht="38.25" x14ac:dyDescent="0.25">
      <c r="A16" s="12"/>
      <c r="B16" s="12">
        <v>6361</v>
      </c>
      <c r="C16" s="13"/>
      <c r="D16" s="69" t="s">
        <v>111</v>
      </c>
      <c r="E16" s="92">
        <v>567184.26</v>
      </c>
      <c r="F16" s="92">
        <v>556000</v>
      </c>
      <c r="G16" s="92">
        <f>732500+57000</f>
        <v>789500</v>
      </c>
      <c r="H16" s="92">
        <f>G16*3%+G16</f>
        <v>813185</v>
      </c>
      <c r="I16" s="92">
        <v>819185</v>
      </c>
    </row>
    <row r="17" spans="1:9" ht="38.25" x14ac:dyDescent="0.25">
      <c r="A17" s="12"/>
      <c r="B17" s="12">
        <v>6362</v>
      </c>
      <c r="C17" s="13"/>
      <c r="D17" s="69" t="s">
        <v>112</v>
      </c>
      <c r="E17" s="92">
        <v>4053.06</v>
      </c>
      <c r="F17" s="92">
        <v>3950</v>
      </c>
      <c r="G17" s="92">
        <v>3150</v>
      </c>
      <c r="H17" s="92">
        <v>3200</v>
      </c>
      <c r="I17" s="92">
        <v>3200</v>
      </c>
    </row>
    <row r="18" spans="1:9" ht="25.5" x14ac:dyDescent="0.25">
      <c r="A18" s="62"/>
      <c r="B18" s="62">
        <v>638</v>
      </c>
      <c r="C18" s="63"/>
      <c r="D18" s="45" t="s">
        <v>113</v>
      </c>
      <c r="E18" s="98">
        <f t="shared" ref="E18:H18" si="12">SUM(E19:E20)</f>
        <v>243.21</v>
      </c>
      <c r="F18" s="98">
        <f t="shared" ref="F18" si="13">SUM(F19:F20)</f>
        <v>0</v>
      </c>
      <c r="G18" s="98">
        <f t="shared" si="12"/>
        <v>18110</v>
      </c>
      <c r="H18" s="98">
        <f t="shared" si="12"/>
        <v>20000</v>
      </c>
      <c r="I18" s="98">
        <f t="shared" ref="I18" si="14">SUM(I19:I20)</f>
        <v>20000</v>
      </c>
    </row>
    <row r="19" spans="1:9" ht="25.5" x14ac:dyDescent="0.25">
      <c r="A19" s="12"/>
      <c r="B19" s="12">
        <v>6381</v>
      </c>
      <c r="C19" s="13"/>
      <c r="D19" s="69" t="s">
        <v>114</v>
      </c>
      <c r="E19" s="92">
        <v>243.21</v>
      </c>
      <c r="F19" s="92"/>
      <c r="G19" s="92">
        <v>18110</v>
      </c>
      <c r="H19" s="92">
        <v>20000</v>
      </c>
      <c r="I19" s="92">
        <v>20000</v>
      </c>
    </row>
    <row r="20" spans="1:9" ht="25.5" x14ac:dyDescent="0.25">
      <c r="A20" s="12"/>
      <c r="B20" s="12">
        <v>6382</v>
      </c>
      <c r="C20" s="13"/>
      <c r="D20" s="69" t="s">
        <v>115</v>
      </c>
      <c r="E20" s="92"/>
      <c r="F20" s="92"/>
      <c r="G20" s="92"/>
      <c r="H20" s="92"/>
      <c r="I20" s="92"/>
    </row>
    <row r="21" spans="1:9" x14ac:dyDescent="0.25">
      <c r="A21" s="66"/>
      <c r="B21" s="66"/>
      <c r="C21" s="67">
        <v>11</v>
      </c>
      <c r="D21" s="67" t="s">
        <v>13</v>
      </c>
      <c r="E21" s="99"/>
      <c r="F21" s="100"/>
      <c r="G21" s="100"/>
      <c r="H21" s="100"/>
      <c r="I21" s="100"/>
    </row>
    <row r="22" spans="1:9" x14ac:dyDescent="0.25">
      <c r="A22" s="66"/>
      <c r="B22" s="66"/>
      <c r="C22" s="67">
        <v>31</v>
      </c>
      <c r="D22" s="67" t="s">
        <v>137</v>
      </c>
      <c r="E22" s="99"/>
      <c r="F22" s="100"/>
      <c r="G22" s="100"/>
      <c r="H22" s="100"/>
      <c r="I22" s="100"/>
    </row>
    <row r="23" spans="1:9" x14ac:dyDescent="0.25">
      <c r="A23" s="66"/>
      <c r="B23" s="66"/>
      <c r="C23" s="67">
        <v>44</v>
      </c>
      <c r="D23" s="67" t="s">
        <v>134</v>
      </c>
      <c r="E23" s="99"/>
      <c r="F23" s="100"/>
      <c r="G23" s="100"/>
      <c r="H23" s="100"/>
      <c r="I23" s="100"/>
    </row>
    <row r="24" spans="1:9" x14ac:dyDescent="0.25">
      <c r="A24" s="68"/>
      <c r="B24" s="66"/>
      <c r="C24" s="67">
        <v>51</v>
      </c>
      <c r="D24" s="67" t="s">
        <v>106</v>
      </c>
      <c r="E24" s="99">
        <f t="shared" ref="E24:H24" si="15">E19</f>
        <v>243.21</v>
      </c>
      <c r="F24" s="99">
        <f t="shared" ref="F24" si="16">F19</f>
        <v>0</v>
      </c>
      <c r="G24" s="99">
        <f t="shared" si="15"/>
        <v>18110</v>
      </c>
      <c r="H24" s="99">
        <f t="shared" si="15"/>
        <v>20000</v>
      </c>
      <c r="I24" s="99">
        <f t="shared" ref="I24" si="17">I19</f>
        <v>20000</v>
      </c>
    </row>
    <row r="25" spans="1:9" x14ac:dyDescent="0.25">
      <c r="A25" s="68"/>
      <c r="B25" s="66"/>
      <c r="C25" s="67">
        <v>43</v>
      </c>
      <c r="D25" s="67" t="s">
        <v>38</v>
      </c>
      <c r="E25" s="99"/>
      <c r="F25" s="100"/>
      <c r="G25" s="100"/>
      <c r="H25" s="101"/>
      <c r="I25" s="101"/>
    </row>
    <row r="26" spans="1:9" ht="15.75" customHeight="1" x14ac:dyDescent="0.25">
      <c r="A26" s="68"/>
      <c r="B26" s="66"/>
      <c r="C26" s="67">
        <v>52</v>
      </c>
      <c r="D26" s="67" t="s">
        <v>37</v>
      </c>
      <c r="E26" s="99">
        <f t="shared" ref="E26:H26" si="18">E12+E15</f>
        <v>573568.19000000006</v>
      </c>
      <c r="F26" s="99">
        <f t="shared" ref="F26" si="19">F12+F15</f>
        <v>562950</v>
      </c>
      <c r="G26" s="99">
        <f>G12+G15</f>
        <v>796400</v>
      </c>
      <c r="H26" s="99">
        <f t="shared" si="18"/>
        <v>817885</v>
      </c>
      <c r="I26" s="99">
        <f t="shared" ref="I26" si="20">I12+I15</f>
        <v>823885</v>
      </c>
    </row>
    <row r="27" spans="1:9" ht="53.25" customHeight="1" x14ac:dyDescent="0.25">
      <c r="A27" s="70"/>
      <c r="B27" s="71">
        <v>65</v>
      </c>
      <c r="C27" s="72"/>
      <c r="D27" s="73" t="s">
        <v>117</v>
      </c>
      <c r="E27" s="102">
        <f t="shared" ref="E27:I27" si="21">SUM(E28)</f>
        <v>12027.97</v>
      </c>
      <c r="F27" s="102">
        <f t="shared" si="21"/>
        <v>7500</v>
      </c>
      <c r="G27" s="102">
        <f t="shared" si="21"/>
        <v>5500</v>
      </c>
      <c r="H27" s="102">
        <f t="shared" si="21"/>
        <v>5800</v>
      </c>
      <c r="I27" s="102">
        <f t="shared" si="21"/>
        <v>5800</v>
      </c>
    </row>
    <row r="28" spans="1:9" x14ac:dyDescent="0.25">
      <c r="A28" s="62"/>
      <c r="B28" s="62">
        <v>652</v>
      </c>
      <c r="C28" s="63"/>
      <c r="D28" s="45" t="s">
        <v>116</v>
      </c>
      <c r="E28" s="97">
        <f t="shared" ref="E28:I28" si="22">SUM(E29:E29)</f>
        <v>12027.97</v>
      </c>
      <c r="F28" s="97">
        <f t="shared" si="22"/>
        <v>7500</v>
      </c>
      <c r="G28" s="97">
        <f t="shared" si="22"/>
        <v>5500</v>
      </c>
      <c r="H28" s="97">
        <f t="shared" si="22"/>
        <v>5800</v>
      </c>
      <c r="I28" s="97">
        <f t="shared" si="22"/>
        <v>5800</v>
      </c>
    </row>
    <row r="29" spans="1:9" x14ac:dyDescent="0.25">
      <c r="A29" s="12"/>
      <c r="B29" s="12">
        <v>6526</v>
      </c>
      <c r="C29" s="13"/>
      <c r="D29" s="69" t="s">
        <v>141</v>
      </c>
      <c r="E29" s="92">
        <v>12027.97</v>
      </c>
      <c r="F29" s="92">
        <v>7500</v>
      </c>
      <c r="G29" s="92">
        <v>5500</v>
      </c>
      <c r="H29" s="92">
        <v>5800</v>
      </c>
      <c r="I29" s="92">
        <v>5800</v>
      </c>
    </row>
    <row r="30" spans="1:9" x14ac:dyDescent="0.25">
      <c r="A30" s="66"/>
      <c r="B30" s="66"/>
      <c r="C30" s="67">
        <v>11</v>
      </c>
      <c r="D30" s="67" t="s">
        <v>13</v>
      </c>
      <c r="E30" s="99"/>
      <c r="F30" s="100"/>
      <c r="G30" s="100"/>
      <c r="H30" s="100"/>
      <c r="I30" s="100"/>
    </row>
    <row r="31" spans="1:9" x14ac:dyDescent="0.25">
      <c r="A31" s="66"/>
      <c r="B31" s="66"/>
      <c r="C31" s="67">
        <v>31</v>
      </c>
      <c r="D31" s="67" t="s">
        <v>137</v>
      </c>
      <c r="E31" s="99"/>
      <c r="F31" s="100"/>
      <c r="G31" s="100"/>
      <c r="H31" s="100"/>
      <c r="I31" s="100"/>
    </row>
    <row r="32" spans="1:9" x14ac:dyDescent="0.25">
      <c r="A32" s="66"/>
      <c r="B32" s="66"/>
      <c r="C32" s="67">
        <v>44</v>
      </c>
      <c r="D32" s="67" t="s">
        <v>134</v>
      </c>
      <c r="E32" s="99"/>
      <c r="F32" s="100"/>
      <c r="G32" s="100"/>
      <c r="H32" s="100"/>
      <c r="I32" s="100"/>
    </row>
    <row r="33" spans="1:9" x14ac:dyDescent="0.25">
      <c r="A33" s="68"/>
      <c r="B33" s="66"/>
      <c r="C33" s="67">
        <v>51</v>
      </c>
      <c r="D33" s="67" t="s">
        <v>106</v>
      </c>
      <c r="E33" s="99"/>
      <c r="F33" s="100"/>
      <c r="G33" s="100"/>
      <c r="H33" s="101"/>
      <c r="I33" s="101"/>
    </row>
    <row r="34" spans="1:9" x14ac:dyDescent="0.25">
      <c r="A34" s="68"/>
      <c r="B34" s="66"/>
      <c r="C34" s="67">
        <v>43</v>
      </c>
      <c r="D34" s="67" t="s">
        <v>38</v>
      </c>
      <c r="E34" s="99">
        <f t="shared" ref="E34:H34" si="23">E29</f>
        <v>12027.97</v>
      </c>
      <c r="F34" s="99">
        <f t="shared" ref="F34" si="24">F29</f>
        <v>7500</v>
      </c>
      <c r="G34" s="99">
        <f t="shared" si="23"/>
        <v>5500</v>
      </c>
      <c r="H34" s="99">
        <f t="shared" si="23"/>
        <v>5800</v>
      </c>
      <c r="I34" s="99">
        <f t="shared" ref="I34" si="25">I29</f>
        <v>5800</v>
      </c>
    </row>
    <row r="35" spans="1:9" x14ac:dyDescent="0.25">
      <c r="A35" s="68"/>
      <c r="B35" s="66"/>
      <c r="C35" s="67">
        <v>52</v>
      </c>
      <c r="D35" s="67" t="s">
        <v>37</v>
      </c>
      <c r="E35" s="99"/>
      <c r="F35" s="100"/>
      <c r="G35" s="100"/>
      <c r="H35" s="101"/>
      <c r="I35" s="101"/>
    </row>
    <row r="36" spans="1:9" ht="44.25" customHeight="1" x14ac:dyDescent="0.25">
      <c r="A36" s="64"/>
      <c r="B36" s="64">
        <v>66</v>
      </c>
      <c r="C36" s="65"/>
      <c r="D36" s="47" t="s">
        <v>118</v>
      </c>
      <c r="E36" s="96">
        <f t="shared" ref="E36:H36" si="26">SUM(E37,E40)</f>
        <v>3043.8</v>
      </c>
      <c r="F36" s="96">
        <f t="shared" ref="F36" si="27">SUM(F37,F40)</f>
        <v>3100</v>
      </c>
      <c r="G36" s="96">
        <f t="shared" si="26"/>
        <v>2000</v>
      </c>
      <c r="H36" s="96">
        <f t="shared" si="26"/>
        <v>2100</v>
      </c>
      <c r="I36" s="96">
        <f t="shared" ref="I36" si="28">SUM(I37,I40)</f>
        <v>2100</v>
      </c>
    </row>
    <row r="37" spans="1:9" ht="38.25" customHeight="1" x14ac:dyDescent="0.25">
      <c r="A37" s="60"/>
      <c r="B37" s="61">
        <v>661</v>
      </c>
      <c r="C37" s="61"/>
      <c r="D37" s="45" t="s">
        <v>119</v>
      </c>
      <c r="E37" s="97">
        <f t="shared" ref="E37:H37" si="29">SUM(E38:E39)</f>
        <v>3043.8</v>
      </c>
      <c r="F37" s="97">
        <f t="shared" ref="F37" si="30">SUM(F38:F39)</f>
        <v>3100</v>
      </c>
      <c r="G37" s="97">
        <f t="shared" si="29"/>
        <v>2000</v>
      </c>
      <c r="H37" s="97">
        <f t="shared" si="29"/>
        <v>2100</v>
      </c>
      <c r="I37" s="97">
        <f t="shared" ref="I37" si="31">SUM(I38:I39)</f>
        <v>2100</v>
      </c>
    </row>
    <row r="38" spans="1:9" ht="15.75" customHeight="1" x14ac:dyDescent="0.25">
      <c r="A38" s="12"/>
      <c r="B38" s="12">
        <v>6614</v>
      </c>
      <c r="C38" s="13"/>
      <c r="D38" s="69" t="s">
        <v>120</v>
      </c>
      <c r="E38" s="92"/>
      <c r="F38" s="92"/>
      <c r="G38" s="92"/>
      <c r="H38" s="92"/>
      <c r="I38" s="92"/>
    </row>
    <row r="39" spans="1:9" x14ac:dyDescent="0.25">
      <c r="A39" s="12"/>
      <c r="B39" s="12">
        <v>6615</v>
      </c>
      <c r="C39" s="13"/>
      <c r="D39" s="69" t="s">
        <v>121</v>
      </c>
      <c r="E39" s="92">
        <v>3043.8</v>
      </c>
      <c r="F39" s="92">
        <v>3100</v>
      </c>
      <c r="G39" s="92">
        <v>2000</v>
      </c>
      <c r="H39" s="92">
        <v>2100</v>
      </c>
      <c r="I39" s="92">
        <v>2100</v>
      </c>
    </row>
    <row r="40" spans="1:9" ht="25.5" x14ac:dyDescent="0.25">
      <c r="A40" s="62"/>
      <c r="B40" s="62">
        <v>663</v>
      </c>
      <c r="C40" s="63"/>
      <c r="D40" s="45" t="s">
        <v>122</v>
      </c>
      <c r="E40" s="98">
        <f t="shared" ref="E40:H40" si="32">SUM(E41:E42)</f>
        <v>0</v>
      </c>
      <c r="F40" s="98">
        <f t="shared" ref="F40" si="33">SUM(F41:F42)</f>
        <v>0</v>
      </c>
      <c r="G40" s="98">
        <f t="shared" si="32"/>
        <v>0</v>
      </c>
      <c r="H40" s="98">
        <f t="shared" si="32"/>
        <v>0</v>
      </c>
      <c r="I40" s="98">
        <f t="shared" ref="I40" si="34">SUM(I41:I42)</f>
        <v>0</v>
      </c>
    </row>
    <row r="41" spans="1:9" x14ac:dyDescent="0.25">
      <c r="A41" s="12"/>
      <c r="B41" s="12">
        <v>6631</v>
      </c>
      <c r="C41" s="13"/>
      <c r="D41" s="69" t="s">
        <v>123</v>
      </c>
      <c r="E41" s="92"/>
      <c r="F41" s="92"/>
      <c r="G41" s="92"/>
      <c r="H41" s="92"/>
      <c r="I41" s="92"/>
    </row>
    <row r="42" spans="1:9" x14ac:dyDescent="0.25">
      <c r="A42" s="12"/>
      <c r="B42" s="12">
        <v>6632</v>
      </c>
      <c r="C42" s="13"/>
      <c r="D42" s="69" t="s">
        <v>124</v>
      </c>
      <c r="E42" s="92"/>
      <c r="F42" s="92"/>
      <c r="G42" s="92"/>
      <c r="H42" s="92"/>
      <c r="I42" s="92"/>
    </row>
    <row r="43" spans="1:9" x14ac:dyDescent="0.25">
      <c r="A43" s="66"/>
      <c r="B43" s="66"/>
      <c r="C43" s="67">
        <v>11</v>
      </c>
      <c r="D43" s="67" t="s">
        <v>13</v>
      </c>
      <c r="E43" s="99"/>
      <c r="F43" s="100"/>
      <c r="G43" s="100"/>
      <c r="H43" s="100"/>
      <c r="I43" s="100"/>
    </row>
    <row r="44" spans="1:9" x14ac:dyDescent="0.25">
      <c r="A44" s="66"/>
      <c r="B44" s="66"/>
      <c r="C44" s="67">
        <v>31</v>
      </c>
      <c r="D44" s="67" t="s">
        <v>137</v>
      </c>
      <c r="E44" s="99">
        <f t="shared" ref="E44:H44" si="35">E39</f>
        <v>3043.8</v>
      </c>
      <c r="F44" s="99">
        <f t="shared" ref="F44" si="36">F39</f>
        <v>3100</v>
      </c>
      <c r="G44" s="99">
        <f t="shared" si="35"/>
        <v>2000</v>
      </c>
      <c r="H44" s="99">
        <f t="shared" si="35"/>
        <v>2100</v>
      </c>
      <c r="I44" s="99">
        <v>2100</v>
      </c>
    </row>
    <row r="45" spans="1:9" x14ac:dyDescent="0.25">
      <c r="A45" s="66"/>
      <c r="B45" s="66"/>
      <c r="C45" s="67">
        <v>44</v>
      </c>
      <c r="D45" s="67" t="s">
        <v>134</v>
      </c>
      <c r="E45" s="99"/>
      <c r="F45" s="100"/>
      <c r="G45" s="100"/>
      <c r="H45" s="100"/>
      <c r="I45" s="100"/>
    </row>
    <row r="46" spans="1:9" x14ac:dyDescent="0.25">
      <c r="A46" s="68"/>
      <c r="B46" s="66"/>
      <c r="C46" s="67">
        <v>51</v>
      </c>
      <c r="D46" s="67" t="s">
        <v>106</v>
      </c>
      <c r="E46" s="99"/>
      <c r="F46" s="100"/>
      <c r="G46" s="100"/>
      <c r="H46" s="101"/>
      <c r="I46" s="101"/>
    </row>
    <row r="47" spans="1:9" x14ac:dyDescent="0.25">
      <c r="A47" s="68"/>
      <c r="B47" s="66"/>
      <c r="C47" s="67">
        <v>43</v>
      </c>
      <c r="D47" s="67" t="s">
        <v>38</v>
      </c>
      <c r="E47" s="99"/>
      <c r="F47" s="100"/>
      <c r="G47" s="100"/>
      <c r="H47" s="101"/>
      <c r="I47" s="101"/>
    </row>
    <row r="48" spans="1:9" x14ac:dyDescent="0.25">
      <c r="A48" s="68"/>
      <c r="B48" s="66"/>
      <c r="C48" s="67">
        <v>52</v>
      </c>
      <c r="D48" s="67" t="s">
        <v>37</v>
      </c>
      <c r="E48" s="99"/>
      <c r="F48" s="100"/>
      <c r="G48" s="100"/>
      <c r="H48" s="101"/>
      <c r="I48" s="101"/>
    </row>
    <row r="49" spans="1:9" ht="24.75" customHeight="1" x14ac:dyDescent="0.25">
      <c r="A49" s="74"/>
      <c r="B49" s="71">
        <v>67</v>
      </c>
      <c r="C49" s="72"/>
      <c r="D49" s="75" t="s">
        <v>125</v>
      </c>
      <c r="E49" s="90">
        <f t="shared" ref="E49:I49" si="37">SUM(E50)</f>
        <v>33385.949999999997</v>
      </c>
      <c r="F49" s="90">
        <f t="shared" si="37"/>
        <v>28000</v>
      </c>
      <c r="G49" s="90">
        <f t="shared" si="37"/>
        <v>36800</v>
      </c>
      <c r="H49" s="90">
        <f t="shared" si="37"/>
        <v>37000</v>
      </c>
      <c r="I49" s="90">
        <f t="shared" si="37"/>
        <v>37000</v>
      </c>
    </row>
    <row r="50" spans="1:9" ht="38.25" x14ac:dyDescent="0.25">
      <c r="A50" s="62"/>
      <c r="B50" s="62">
        <v>671</v>
      </c>
      <c r="C50" s="63"/>
      <c r="D50" s="45" t="s">
        <v>126</v>
      </c>
      <c r="E50" s="97">
        <f t="shared" ref="E50:H50" si="38">SUM(E51:E52)</f>
        <v>33385.949999999997</v>
      </c>
      <c r="F50" s="97">
        <f t="shared" ref="F50" si="39">SUM(F51:F52)</f>
        <v>28000</v>
      </c>
      <c r="G50" s="97">
        <f t="shared" si="38"/>
        <v>36800</v>
      </c>
      <c r="H50" s="97">
        <f t="shared" si="38"/>
        <v>37000</v>
      </c>
      <c r="I50" s="97">
        <f t="shared" ref="I50" si="40">SUM(I51:I52)</f>
        <v>37000</v>
      </c>
    </row>
    <row r="51" spans="1:9" ht="38.25" x14ac:dyDescent="0.25">
      <c r="A51" s="12"/>
      <c r="B51" s="12">
        <v>6711</v>
      </c>
      <c r="C51" s="13"/>
      <c r="D51" s="69" t="s">
        <v>127</v>
      </c>
      <c r="E51" s="92">
        <v>33385.949999999997</v>
      </c>
      <c r="F51" s="92">
        <v>28000</v>
      </c>
      <c r="G51" s="92">
        <f>G53+G55</f>
        <v>36800</v>
      </c>
      <c r="H51" s="92">
        <f t="shared" ref="H51:I51" si="41">H53+H55</f>
        <v>37000</v>
      </c>
      <c r="I51" s="92">
        <f t="shared" si="41"/>
        <v>37000</v>
      </c>
    </row>
    <row r="52" spans="1:9" ht="38.25" x14ac:dyDescent="0.25">
      <c r="A52" s="12"/>
      <c r="B52" s="12">
        <v>6712</v>
      </c>
      <c r="C52" s="13"/>
      <c r="D52" s="69" t="s">
        <v>128</v>
      </c>
      <c r="E52" s="92"/>
      <c r="F52" s="92"/>
      <c r="G52" s="92"/>
      <c r="H52" s="92"/>
      <c r="I52" s="92"/>
    </row>
    <row r="53" spans="1:9" x14ac:dyDescent="0.25">
      <c r="A53" s="66"/>
      <c r="B53" s="66"/>
      <c r="C53" s="67">
        <v>11</v>
      </c>
      <c r="D53" s="67" t="s">
        <v>13</v>
      </c>
      <c r="E53" s="99">
        <v>955.62</v>
      </c>
      <c r="F53" s="100"/>
      <c r="G53" s="100">
        <v>8800</v>
      </c>
      <c r="H53" s="100">
        <v>9000</v>
      </c>
      <c r="I53" s="100">
        <v>9000</v>
      </c>
    </row>
    <row r="54" spans="1:9" x14ac:dyDescent="0.25">
      <c r="A54" s="66"/>
      <c r="B54" s="66"/>
      <c r="C54" s="67">
        <v>31</v>
      </c>
      <c r="D54" s="67" t="s">
        <v>137</v>
      </c>
      <c r="E54" s="99"/>
      <c r="F54" s="100"/>
      <c r="G54" s="100"/>
      <c r="H54" s="100"/>
      <c r="I54" s="100"/>
    </row>
    <row r="55" spans="1:9" x14ac:dyDescent="0.25">
      <c r="A55" s="66"/>
      <c r="B55" s="66"/>
      <c r="C55" s="67">
        <v>44</v>
      </c>
      <c r="D55" s="67" t="s">
        <v>134</v>
      </c>
      <c r="E55" s="99">
        <v>32430.33</v>
      </c>
      <c r="F55" s="99">
        <f t="shared" ref="F55" si="42">F51</f>
        <v>28000</v>
      </c>
      <c r="G55" s="99">
        <v>28000</v>
      </c>
      <c r="H55" s="99">
        <v>28000</v>
      </c>
      <c r="I55" s="99">
        <v>28000</v>
      </c>
    </row>
    <row r="56" spans="1:9" x14ac:dyDescent="0.25">
      <c r="A56" s="68"/>
      <c r="B56" s="66"/>
      <c r="C56" s="67">
        <v>51</v>
      </c>
      <c r="D56" s="67" t="s">
        <v>106</v>
      </c>
      <c r="E56" s="99"/>
      <c r="F56" s="100"/>
      <c r="G56" s="100"/>
      <c r="H56" s="101"/>
      <c r="I56" s="101"/>
    </row>
    <row r="57" spans="1:9" x14ac:dyDescent="0.25">
      <c r="A57" s="68"/>
      <c r="B57" s="66"/>
      <c r="C57" s="67">
        <v>43</v>
      </c>
      <c r="D57" s="67" t="s">
        <v>38</v>
      </c>
      <c r="E57" s="99"/>
      <c r="F57" s="100"/>
      <c r="G57" s="100"/>
      <c r="H57" s="101"/>
      <c r="I57" s="101"/>
    </row>
    <row r="58" spans="1:9" x14ac:dyDescent="0.25">
      <c r="A58" s="68"/>
      <c r="B58" s="66"/>
      <c r="C58" s="67">
        <v>52</v>
      </c>
      <c r="D58" s="67" t="s">
        <v>37</v>
      </c>
      <c r="E58" s="100"/>
      <c r="F58" s="100"/>
      <c r="G58" s="100"/>
      <c r="H58" s="101"/>
      <c r="I58" s="101"/>
    </row>
    <row r="59" spans="1:9" s="76" customFormat="1" x14ac:dyDescent="0.25">
      <c r="A59" s="197"/>
      <c r="B59" s="198" t="s">
        <v>129</v>
      </c>
      <c r="C59" s="199"/>
      <c r="D59" s="199"/>
      <c r="E59" s="200">
        <f>SUM(E11+E27+E36+E49)</f>
        <v>622269.12</v>
      </c>
      <c r="F59" s="200">
        <f t="shared" ref="F59" si="43">SUM(F11+F27+F36+F49)</f>
        <v>601550</v>
      </c>
      <c r="G59" s="200">
        <f t="shared" ref="G59:H59" si="44">SUM(G11+G27+G36+G49)</f>
        <v>858810</v>
      </c>
      <c r="H59" s="200">
        <f t="shared" si="44"/>
        <v>882785</v>
      </c>
      <c r="I59" s="200">
        <f t="shared" ref="I59" si="45">SUM(I11+I27+I36+I49)</f>
        <v>888785</v>
      </c>
    </row>
    <row r="60" spans="1:9" s="76" customFormat="1" x14ac:dyDescent="0.25">
      <c r="A60" s="103"/>
      <c r="B60" s="104"/>
      <c r="C60" s="105"/>
      <c r="D60" s="105"/>
      <c r="E60" s="106"/>
      <c r="F60" s="106"/>
      <c r="G60" s="106"/>
      <c r="H60" s="106"/>
      <c r="I60" s="106"/>
    </row>
    <row r="61" spans="1:9" s="76" customFormat="1" x14ac:dyDescent="0.25">
      <c r="A61" s="103"/>
      <c r="B61" s="104"/>
      <c r="C61" s="105"/>
      <c r="D61" s="105"/>
      <c r="E61" s="106"/>
      <c r="F61" s="106"/>
      <c r="G61" s="106"/>
      <c r="H61" s="106"/>
      <c r="I61" s="106"/>
    </row>
    <row r="62" spans="1:9" s="76" customFormat="1" x14ac:dyDescent="0.25">
      <c r="A62" s="103"/>
      <c r="B62" s="104"/>
      <c r="C62" s="105"/>
      <c r="D62" s="105"/>
      <c r="E62" s="106"/>
      <c r="F62" s="106"/>
      <c r="G62" s="106"/>
      <c r="H62" s="106"/>
      <c r="I62" s="106"/>
    </row>
    <row r="64" spans="1:9" x14ac:dyDescent="0.25">
      <c r="A64" s="249" t="s">
        <v>14</v>
      </c>
      <c r="B64" s="250"/>
      <c r="C64" s="250"/>
      <c r="D64" s="250"/>
      <c r="E64" s="250"/>
      <c r="F64" s="250"/>
      <c r="G64" s="250"/>
      <c r="H64" s="250"/>
      <c r="I64" s="129"/>
    </row>
    <row r="65" spans="1:9" x14ac:dyDescent="0.25">
      <c r="A65" s="94"/>
      <c r="B65" s="94"/>
      <c r="C65" s="94"/>
      <c r="D65" s="94"/>
      <c r="E65" s="94"/>
      <c r="F65" s="5"/>
      <c r="G65" s="5"/>
      <c r="H65" s="5"/>
      <c r="I65" s="5"/>
    </row>
    <row r="66" spans="1:9" s="147" customFormat="1" ht="25.5" x14ac:dyDescent="0.25">
      <c r="A66" s="145" t="s">
        <v>9</v>
      </c>
      <c r="B66" s="146" t="s">
        <v>10</v>
      </c>
      <c r="C66" s="146" t="s">
        <v>11</v>
      </c>
      <c r="D66" s="146" t="s">
        <v>15</v>
      </c>
      <c r="E66" s="146" t="s">
        <v>182</v>
      </c>
      <c r="F66" s="145" t="s">
        <v>183</v>
      </c>
      <c r="G66" s="145" t="s">
        <v>183</v>
      </c>
      <c r="H66" s="145" t="s">
        <v>160</v>
      </c>
      <c r="I66" s="145" t="s">
        <v>184</v>
      </c>
    </row>
    <row r="67" spans="1:9" s="156" customFormat="1" x14ac:dyDescent="0.25">
      <c r="A67" s="201">
        <v>3</v>
      </c>
      <c r="B67" s="201"/>
      <c r="C67" s="201"/>
      <c r="D67" s="202" t="s">
        <v>16</v>
      </c>
      <c r="E67" s="196">
        <f t="shared" ref="E67:H67" si="46">SUM(E68+E84+E124+E134)</f>
        <v>614631.30000000005</v>
      </c>
      <c r="F67" s="196">
        <f>SUM(F68+F84+F124+F134)</f>
        <v>597038</v>
      </c>
      <c r="G67" s="196">
        <f>SUM(G68+G84+G124+G134)</f>
        <v>855510</v>
      </c>
      <c r="H67" s="196">
        <f t="shared" si="46"/>
        <v>879485</v>
      </c>
      <c r="I67" s="196">
        <f>SUM(I68+I84+I124+I134)</f>
        <v>885485</v>
      </c>
    </row>
    <row r="68" spans="1:9" s="156" customFormat="1" x14ac:dyDescent="0.25">
      <c r="A68" s="161"/>
      <c r="B68" s="162">
        <v>31</v>
      </c>
      <c r="C68" s="162"/>
      <c r="D68" s="157" t="s">
        <v>17</v>
      </c>
      <c r="E68" s="148">
        <f>SUM(E69,E73,E75)</f>
        <v>523397</v>
      </c>
      <c r="F68" s="148">
        <f t="shared" ref="F68" si="47">SUM(F69,F73,F75)</f>
        <v>511208</v>
      </c>
      <c r="G68" s="148">
        <f>SUM(G69,G73,G75)</f>
        <v>770650</v>
      </c>
      <c r="H68" s="148">
        <f t="shared" ref="H68" si="48">SUM(H69,H73,H75)</f>
        <v>792585</v>
      </c>
      <c r="I68" s="148">
        <f t="shared" ref="I68" si="49">SUM(I69,I73,I75)</f>
        <v>798485</v>
      </c>
    </row>
    <row r="69" spans="1:9" s="156" customFormat="1" x14ac:dyDescent="0.25">
      <c r="A69" s="163"/>
      <c r="B69" s="164">
        <v>311</v>
      </c>
      <c r="C69" s="164"/>
      <c r="D69" s="158" t="s">
        <v>42</v>
      </c>
      <c r="E69" s="97">
        <f>SUM(E70:E72)</f>
        <v>431950.51</v>
      </c>
      <c r="F69" s="97">
        <f t="shared" ref="F69" si="50">SUM(F70:F72)</f>
        <v>425708</v>
      </c>
      <c r="G69" s="97">
        <f t="shared" ref="G69:H69" si="51">SUM(G70:G72)</f>
        <v>641515.44999999995</v>
      </c>
      <c r="H69" s="97">
        <f t="shared" si="51"/>
        <v>660175.44999999995</v>
      </c>
      <c r="I69" s="97">
        <f t="shared" ref="I69" si="52">SUM(I70:I72)</f>
        <v>665275.44999999995</v>
      </c>
    </row>
    <row r="70" spans="1:9" s="156" customFormat="1" x14ac:dyDescent="0.25">
      <c r="A70" s="165"/>
      <c r="B70" s="165">
        <v>3111</v>
      </c>
      <c r="C70" s="166"/>
      <c r="D70" s="159" t="s">
        <v>54</v>
      </c>
      <c r="E70" s="92">
        <v>431950.51</v>
      </c>
      <c r="F70" s="149">
        <f>430000-4485+193</f>
        <v>425708</v>
      </c>
      <c r="G70" s="149">
        <f>570000+23875.45+47640</f>
        <v>641515.44999999995</v>
      </c>
      <c r="H70" s="149">
        <f>636300+23875.45</f>
        <v>660175.44999999995</v>
      </c>
      <c r="I70" s="149">
        <f>641400+23875.45</f>
        <v>665275.44999999995</v>
      </c>
    </row>
    <row r="71" spans="1:9" s="156" customFormat="1" x14ac:dyDescent="0.25">
      <c r="A71" s="165"/>
      <c r="B71" s="165">
        <v>3113</v>
      </c>
      <c r="C71" s="166"/>
      <c r="D71" s="159" t="s">
        <v>55</v>
      </c>
      <c r="E71" s="92"/>
      <c r="F71" s="149"/>
      <c r="G71" s="149"/>
      <c r="H71" s="149"/>
      <c r="I71" s="149"/>
    </row>
    <row r="72" spans="1:9" s="156" customFormat="1" x14ac:dyDescent="0.25">
      <c r="A72" s="165"/>
      <c r="B72" s="165">
        <v>3114</v>
      </c>
      <c r="C72" s="166"/>
      <c r="D72" s="159" t="s">
        <v>56</v>
      </c>
      <c r="E72" s="92"/>
      <c r="F72" s="149"/>
      <c r="G72" s="149"/>
      <c r="H72" s="149"/>
      <c r="I72" s="149"/>
    </row>
    <row r="73" spans="1:9" s="156" customFormat="1" x14ac:dyDescent="0.25">
      <c r="A73" s="167"/>
      <c r="B73" s="167">
        <v>312</v>
      </c>
      <c r="C73" s="168"/>
      <c r="D73" s="158" t="s">
        <v>57</v>
      </c>
      <c r="E73" s="98">
        <f>E74</f>
        <v>20436.98</v>
      </c>
      <c r="F73" s="98">
        <f t="shared" ref="F73:I73" si="53">F74</f>
        <v>15500</v>
      </c>
      <c r="G73" s="98">
        <f t="shared" si="53"/>
        <v>23500</v>
      </c>
      <c r="H73" s="98">
        <f t="shared" si="53"/>
        <v>23700</v>
      </c>
      <c r="I73" s="98">
        <f t="shared" si="53"/>
        <v>23700</v>
      </c>
    </row>
    <row r="74" spans="1:9" s="156" customFormat="1" x14ac:dyDescent="0.25">
      <c r="A74" s="165"/>
      <c r="B74" s="165">
        <v>3121</v>
      </c>
      <c r="C74" s="166"/>
      <c r="D74" s="159" t="s">
        <v>58</v>
      </c>
      <c r="E74" s="92">
        <v>20436.98</v>
      </c>
      <c r="F74" s="149">
        <v>15500</v>
      </c>
      <c r="G74" s="149">
        <f>21800+1700</f>
        <v>23500</v>
      </c>
      <c r="H74" s="149">
        <v>23700</v>
      </c>
      <c r="I74" s="149">
        <v>23700</v>
      </c>
    </row>
    <row r="75" spans="1:9" s="156" customFormat="1" x14ac:dyDescent="0.25">
      <c r="A75" s="167"/>
      <c r="B75" s="167">
        <v>313</v>
      </c>
      <c r="C75" s="168"/>
      <c r="D75" s="158" t="s">
        <v>43</v>
      </c>
      <c r="E75" s="97">
        <f>SUM(E76:E77)</f>
        <v>71009.509999999995</v>
      </c>
      <c r="F75" s="97">
        <f t="shared" ref="F75" si="54">SUM(F76:F77)</f>
        <v>70000</v>
      </c>
      <c r="G75" s="97">
        <f t="shared" ref="G75:H75" si="55">SUM(G76:G77)</f>
        <v>105634.55</v>
      </c>
      <c r="H75" s="97">
        <f t="shared" si="55"/>
        <v>108709.55</v>
      </c>
      <c r="I75" s="97">
        <f t="shared" ref="I75" si="56">SUM(I76:I77)</f>
        <v>109509.55</v>
      </c>
    </row>
    <row r="76" spans="1:9" s="156" customFormat="1" ht="25.5" x14ac:dyDescent="0.25">
      <c r="A76" s="165"/>
      <c r="B76" s="165">
        <v>3131</v>
      </c>
      <c r="C76" s="166"/>
      <c r="D76" s="159" t="s">
        <v>59</v>
      </c>
      <c r="E76" s="92"/>
      <c r="F76" s="149"/>
      <c r="G76" s="149"/>
      <c r="H76" s="149"/>
      <c r="I76" s="149"/>
    </row>
    <row r="77" spans="1:9" s="156" customFormat="1" ht="25.5" x14ac:dyDescent="0.25">
      <c r="A77" s="165"/>
      <c r="B77" s="165">
        <v>3132</v>
      </c>
      <c r="C77" s="166"/>
      <c r="D77" s="159" t="s">
        <v>60</v>
      </c>
      <c r="E77" s="92">
        <v>71009.509999999995</v>
      </c>
      <c r="F77" s="149">
        <v>70000</v>
      </c>
      <c r="G77" s="149">
        <f>94050+3724.55+7860</f>
        <v>105634.55</v>
      </c>
      <c r="H77" s="149">
        <f>104985+3724.55</f>
        <v>108709.55</v>
      </c>
      <c r="I77" s="149">
        <f>105785+3724.55</f>
        <v>109509.55</v>
      </c>
    </row>
    <row r="78" spans="1:9" s="156" customFormat="1" x14ac:dyDescent="0.25">
      <c r="A78" s="169"/>
      <c r="B78" s="169"/>
      <c r="C78" s="170">
        <v>11</v>
      </c>
      <c r="D78" s="160" t="s">
        <v>13</v>
      </c>
      <c r="E78" s="99">
        <v>955.62</v>
      </c>
      <c r="F78" s="100"/>
      <c r="G78" s="100">
        <v>8500</v>
      </c>
      <c r="H78" s="100">
        <v>8900</v>
      </c>
      <c r="I78" s="100">
        <v>8900</v>
      </c>
    </row>
    <row r="79" spans="1:9" s="156" customFormat="1" x14ac:dyDescent="0.25">
      <c r="A79" s="169"/>
      <c r="B79" s="169"/>
      <c r="C79" s="170">
        <v>31</v>
      </c>
      <c r="D79" s="160" t="s">
        <v>137</v>
      </c>
      <c r="E79" s="99"/>
      <c r="F79" s="100"/>
      <c r="G79" s="100"/>
      <c r="H79" s="100"/>
      <c r="I79" s="100"/>
    </row>
    <row r="80" spans="1:9" s="156" customFormat="1" x14ac:dyDescent="0.25">
      <c r="A80" s="169"/>
      <c r="B80" s="169"/>
      <c r="C80" s="170">
        <v>44</v>
      </c>
      <c r="D80" s="160" t="s">
        <v>134</v>
      </c>
      <c r="E80" s="99"/>
      <c r="F80" s="100"/>
      <c r="G80" s="100"/>
      <c r="H80" s="100"/>
      <c r="I80" s="100"/>
    </row>
    <row r="81" spans="1:9" s="156" customFormat="1" x14ac:dyDescent="0.25">
      <c r="A81" s="171"/>
      <c r="B81" s="169"/>
      <c r="C81" s="170">
        <v>51</v>
      </c>
      <c r="D81" s="160" t="s">
        <v>106</v>
      </c>
      <c r="E81" s="99"/>
      <c r="F81" s="100"/>
      <c r="G81" s="100">
        <v>18000</v>
      </c>
      <c r="H81" s="101">
        <v>19560</v>
      </c>
      <c r="I81" s="101">
        <v>19560</v>
      </c>
    </row>
    <row r="82" spans="1:9" s="156" customFormat="1" x14ac:dyDescent="0.25">
      <c r="A82" s="171"/>
      <c r="B82" s="169"/>
      <c r="C82" s="170">
        <v>43</v>
      </c>
      <c r="D82" s="160" t="s">
        <v>38</v>
      </c>
      <c r="E82" s="99">
        <v>20</v>
      </c>
      <c r="F82" s="100"/>
      <c r="G82" s="100"/>
      <c r="H82" s="101"/>
      <c r="I82" s="101"/>
    </row>
    <row r="83" spans="1:9" s="156" customFormat="1" x14ac:dyDescent="0.25">
      <c r="A83" s="171"/>
      <c r="B83" s="169"/>
      <c r="C83" s="170">
        <v>52</v>
      </c>
      <c r="D83" s="160" t="s">
        <v>37</v>
      </c>
      <c r="E83" s="99">
        <v>522421.38</v>
      </c>
      <c r="F83" s="100">
        <v>511208</v>
      </c>
      <c r="G83" s="100">
        <f>570000+94050+21800+2800+47640+7860</f>
        <v>744150</v>
      </c>
      <c r="H83" s="101">
        <v>764125</v>
      </c>
      <c r="I83" s="101">
        <v>770025</v>
      </c>
    </row>
    <row r="84" spans="1:9" s="156" customFormat="1" x14ac:dyDescent="0.25">
      <c r="A84" s="172"/>
      <c r="B84" s="173">
        <v>32</v>
      </c>
      <c r="C84" s="174"/>
      <c r="D84" s="157" t="s">
        <v>28</v>
      </c>
      <c r="E84" s="148">
        <f>SUM(E85,E90,E98,E108,E110)</f>
        <v>87397.290000000008</v>
      </c>
      <c r="F84" s="148">
        <f t="shared" ref="F84" si="57">SUM(F85,F90,F98,F108,F110)</f>
        <v>81810</v>
      </c>
      <c r="G84" s="148">
        <f>SUM(G85,G90,G98,G108,G110)</f>
        <v>78640</v>
      </c>
      <c r="H84" s="148">
        <f>SUM(H85,H90,H98,H108,H110)</f>
        <v>82180</v>
      </c>
      <c r="I84" s="148">
        <f>SUM(I85,I90,I98,I108,I110)</f>
        <v>82280</v>
      </c>
    </row>
    <row r="85" spans="1:9" s="156" customFormat="1" x14ac:dyDescent="0.25">
      <c r="A85" s="175"/>
      <c r="B85" s="176">
        <v>321</v>
      </c>
      <c r="C85" s="177"/>
      <c r="D85" s="158" t="s">
        <v>44</v>
      </c>
      <c r="E85" s="97">
        <f t="shared" ref="E85:H85" si="58">SUM(E86:E89)</f>
        <v>21349.95</v>
      </c>
      <c r="F85" s="97">
        <f t="shared" ref="F85" si="59">SUM(F86:F89)</f>
        <v>20425</v>
      </c>
      <c r="G85" s="97">
        <f t="shared" si="58"/>
        <v>21405</v>
      </c>
      <c r="H85" s="150">
        <f t="shared" si="58"/>
        <v>22465</v>
      </c>
      <c r="I85" s="150">
        <f t="shared" ref="I85" si="60">SUM(I86:I89)</f>
        <v>22465</v>
      </c>
    </row>
    <row r="86" spans="1:9" s="156" customFormat="1" x14ac:dyDescent="0.25">
      <c r="A86" s="178"/>
      <c r="B86" s="179">
        <v>3211</v>
      </c>
      <c r="C86" s="166"/>
      <c r="D86" s="159" t="s">
        <v>61</v>
      </c>
      <c r="E86" s="149">
        <v>2623.45</v>
      </c>
      <c r="F86" s="149">
        <v>2000</v>
      </c>
      <c r="G86" s="149">
        <v>940</v>
      </c>
      <c r="H86" s="149">
        <v>2000</v>
      </c>
      <c r="I86" s="149">
        <v>2000</v>
      </c>
    </row>
    <row r="87" spans="1:9" s="156" customFormat="1" ht="25.5" x14ac:dyDescent="0.25">
      <c r="A87" s="178"/>
      <c r="B87" s="165">
        <v>3212</v>
      </c>
      <c r="C87" s="166"/>
      <c r="D87" s="159" t="s">
        <v>62</v>
      </c>
      <c r="E87" s="149">
        <v>17255.68</v>
      </c>
      <c r="F87" s="149">
        <v>17000</v>
      </c>
      <c r="G87" s="149">
        <f>17000+540+1500</f>
        <v>19040</v>
      </c>
      <c r="H87" s="151">
        <f>18500+540</f>
        <v>19040</v>
      </c>
      <c r="I87" s="151">
        <v>19040</v>
      </c>
    </row>
    <row r="88" spans="1:9" s="156" customFormat="1" x14ac:dyDescent="0.25">
      <c r="A88" s="178"/>
      <c r="B88" s="165">
        <v>3213</v>
      </c>
      <c r="C88" s="166"/>
      <c r="D88" s="159" t="s">
        <v>63</v>
      </c>
      <c r="E88" s="149">
        <v>316.5</v>
      </c>
      <c r="F88" s="149">
        <v>225</v>
      </c>
      <c r="G88" s="149">
        <v>225</v>
      </c>
      <c r="H88" s="149">
        <v>225</v>
      </c>
      <c r="I88" s="149">
        <v>225</v>
      </c>
    </row>
    <row r="89" spans="1:9" s="156" customFormat="1" ht="25.5" x14ac:dyDescent="0.25">
      <c r="A89" s="178"/>
      <c r="B89" s="165">
        <v>3214</v>
      </c>
      <c r="C89" s="166"/>
      <c r="D89" s="159" t="s">
        <v>64</v>
      </c>
      <c r="E89" s="149">
        <v>1154.32</v>
      </c>
      <c r="F89" s="149">
        <v>1200</v>
      </c>
      <c r="G89" s="149">
        <v>1200</v>
      </c>
      <c r="H89" s="149">
        <v>1200</v>
      </c>
      <c r="I89" s="149">
        <v>1200</v>
      </c>
    </row>
    <row r="90" spans="1:9" s="156" customFormat="1" x14ac:dyDescent="0.25">
      <c r="A90" s="180"/>
      <c r="B90" s="181">
        <v>322</v>
      </c>
      <c r="C90" s="177"/>
      <c r="D90" s="158" t="s">
        <v>45</v>
      </c>
      <c r="E90" s="152">
        <f t="shared" ref="E90:H90" si="61">SUM(E91:E97)</f>
        <v>39595.360000000008</v>
      </c>
      <c r="F90" s="152">
        <f t="shared" ref="F90" si="62">SUM(F91:F97)</f>
        <v>40035</v>
      </c>
      <c r="G90" s="152">
        <f t="shared" si="61"/>
        <v>36693</v>
      </c>
      <c r="H90" s="152">
        <f t="shared" si="61"/>
        <v>37373</v>
      </c>
      <c r="I90" s="152">
        <f t="shared" ref="I90" si="63">SUM(I91:I97)</f>
        <v>37373</v>
      </c>
    </row>
    <row r="91" spans="1:9" s="156" customFormat="1" ht="25.5" x14ac:dyDescent="0.25">
      <c r="A91" s="182"/>
      <c r="B91" s="165">
        <v>3221</v>
      </c>
      <c r="C91" s="166"/>
      <c r="D91" s="159" t="s">
        <v>65</v>
      </c>
      <c r="E91" s="153">
        <v>5336.36</v>
      </c>
      <c r="F91" s="153">
        <v>4775</v>
      </c>
      <c r="G91" s="153">
        <v>4105</v>
      </c>
      <c r="H91" s="153">
        <v>4105</v>
      </c>
      <c r="I91" s="153">
        <v>4105</v>
      </c>
    </row>
    <row r="92" spans="1:9" s="156" customFormat="1" x14ac:dyDescent="0.25">
      <c r="A92" s="183"/>
      <c r="B92" s="165">
        <v>3222</v>
      </c>
      <c r="C92" s="166"/>
      <c r="D92" s="159" t="s">
        <v>66</v>
      </c>
      <c r="E92" s="153">
        <v>23588.63</v>
      </c>
      <c r="F92" s="153">
        <v>24200</v>
      </c>
      <c r="G92" s="153">
        <v>22000</v>
      </c>
      <c r="H92" s="153">
        <v>22000</v>
      </c>
      <c r="I92" s="153">
        <v>22000</v>
      </c>
    </row>
    <row r="93" spans="1:9" s="156" customFormat="1" x14ac:dyDescent="0.25">
      <c r="A93" s="183"/>
      <c r="B93" s="184">
        <v>3223</v>
      </c>
      <c r="C93" s="185"/>
      <c r="D93" s="159" t="s">
        <v>67</v>
      </c>
      <c r="E93" s="153">
        <v>7119.96</v>
      </c>
      <c r="F93" s="153">
        <v>7500</v>
      </c>
      <c r="G93" s="153">
        <v>7500</v>
      </c>
      <c r="H93" s="153">
        <v>7500</v>
      </c>
      <c r="I93" s="153">
        <v>7500</v>
      </c>
    </row>
    <row r="94" spans="1:9" s="156" customFormat="1" ht="25.5" x14ac:dyDescent="0.25">
      <c r="A94" s="183"/>
      <c r="B94" s="179">
        <v>3224</v>
      </c>
      <c r="C94" s="179"/>
      <c r="D94" s="159" t="s">
        <v>68</v>
      </c>
      <c r="E94" s="153">
        <v>1433.23</v>
      </c>
      <c r="F94" s="153">
        <v>1500</v>
      </c>
      <c r="G94" s="153">
        <v>1500</v>
      </c>
      <c r="H94" s="153">
        <v>1500</v>
      </c>
      <c r="I94" s="153">
        <v>1500</v>
      </c>
    </row>
    <row r="95" spans="1:9" s="156" customFormat="1" x14ac:dyDescent="0.25">
      <c r="A95" s="183"/>
      <c r="B95" s="179">
        <v>3225</v>
      </c>
      <c r="C95" s="166"/>
      <c r="D95" s="159" t="s">
        <v>69</v>
      </c>
      <c r="E95" s="153">
        <v>1850.42</v>
      </c>
      <c r="F95" s="153">
        <v>1906</v>
      </c>
      <c r="G95" s="153">
        <f>500+114+820</f>
        <v>1434</v>
      </c>
      <c r="H95" s="153">
        <f>1500+114+500</f>
        <v>2114</v>
      </c>
      <c r="I95" s="153">
        <v>2114</v>
      </c>
    </row>
    <row r="96" spans="1:9" s="156" customFormat="1" ht="25.5" x14ac:dyDescent="0.25">
      <c r="A96" s="183"/>
      <c r="B96" s="186">
        <v>3226</v>
      </c>
      <c r="C96" s="183"/>
      <c r="D96" s="159" t="s">
        <v>70</v>
      </c>
      <c r="E96" s="153"/>
      <c r="F96" s="153"/>
      <c r="G96" s="153"/>
      <c r="H96" s="153"/>
      <c r="I96" s="153"/>
    </row>
    <row r="97" spans="1:9" s="156" customFormat="1" ht="25.5" x14ac:dyDescent="0.25">
      <c r="A97" s="183"/>
      <c r="B97" s="186">
        <v>3227</v>
      </c>
      <c r="C97" s="183"/>
      <c r="D97" s="159" t="s">
        <v>71</v>
      </c>
      <c r="E97" s="153">
        <v>266.76</v>
      </c>
      <c r="F97" s="153">
        <v>154</v>
      </c>
      <c r="G97" s="153">
        <v>154</v>
      </c>
      <c r="H97" s="153">
        <v>154</v>
      </c>
      <c r="I97" s="153">
        <v>154</v>
      </c>
    </row>
    <row r="98" spans="1:9" s="156" customFormat="1" x14ac:dyDescent="0.25">
      <c r="A98" s="187"/>
      <c r="B98" s="188">
        <v>323</v>
      </c>
      <c r="C98" s="187"/>
      <c r="D98" s="158" t="s">
        <v>46</v>
      </c>
      <c r="E98" s="152">
        <f t="shared" ref="E98:H98" si="64">SUM(E99:E107)</f>
        <v>16490.11</v>
      </c>
      <c r="F98" s="152">
        <f t="shared" ref="F98" si="65">SUM(F99:F107)</f>
        <v>13860</v>
      </c>
      <c r="G98" s="152">
        <f t="shared" si="64"/>
        <v>14187</v>
      </c>
      <c r="H98" s="152">
        <f t="shared" si="64"/>
        <v>14287</v>
      </c>
      <c r="I98" s="152">
        <f t="shared" ref="I98" si="66">SUM(I99:I107)</f>
        <v>14287</v>
      </c>
    </row>
    <row r="99" spans="1:9" s="156" customFormat="1" x14ac:dyDescent="0.25">
      <c r="A99" s="189"/>
      <c r="B99" s="186">
        <v>3231</v>
      </c>
      <c r="C99" s="183"/>
      <c r="D99" s="159" t="s">
        <v>72</v>
      </c>
      <c r="E99" s="153">
        <v>3679.76</v>
      </c>
      <c r="F99" s="153">
        <v>3700</v>
      </c>
      <c r="G99" s="153">
        <f>2400+1000+600</f>
        <v>4000</v>
      </c>
      <c r="H99" s="153">
        <f t="shared" ref="H99:I99" si="67">2400+1000+600</f>
        <v>4000</v>
      </c>
      <c r="I99" s="153">
        <f t="shared" si="67"/>
        <v>4000</v>
      </c>
    </row>
    <row r="100" spans="1:9" s="156" customFormat="1" ht="25.5" x14ac:dyDescent="0.25">
      <c r="A100" s="183"/>
      <c r="B100" s="186">
        <v>3232</v>
      </c>
      <c r="C100" s="183"/>
      <c r="D100" s="159" t="s">
        <v>73</v>
      </c>
      <c r="E100" s="153">
        <v>2921.74</v>
      </c>
      <c r="F100" s="153">
        <v>2180</v>
      </c>
      <c r="G100" s="153">
        <v>2180</v>
      </c>
      <c r="H100" s="153">
        <v>2180</v>
      </c>
      <c r="I100" s="153">
        <v>2180</v>
      </c>
    </row>
    <row r="101" spans="1:9" s="156" customFormat="1" x14ac:dyDescent="0.25">
      <c r="A101" s="183"/>
      <c r="B101" s="186">
        <v>3233</v>
      </c>
      <c r="C101" s="183"/>
      <c r="D101" s="159" t="s">
        <v>74</v>
      </c>
      <c r="E101" s="153">
        <v>127.44</v>
      </c>
      <c r="F101" s="153">
        <v>128</v>
      </c>
      <c r="G101" s="153">
        <v>128</v>
      </c>
      <c r="H101" s="153">
        <v>128</v>
      </c>
      <c r="I101" s="153">
        <v>128</v>
      </c>
    </row>
    <row r="102" spans="1:9" s="156" customFormat="1" x14ac:dyDescent="0.25">
      <c r="A102" s="183"/>
      <c r="B102" s="186">
        <v>3234</v>
      </c>
      <c r="C102" s="183"/>
      <c r="D102" s="159" t="s">
        <v>75</v>
      </c>
      <c r="E102" s="153">
        <v>3202.12</v>
      </c>
      <c r="F102" s="153">
        <v>2700</v>
      </c>
      <c r="G102" s="153">
        <v>2700</v>
      </c>
      <c r="H102" s="153">
        <v>2700</v>
      </c>
      <c r="I102" s="153">
        <v>2700</v>
      </c>
    </row>
    <row r="103" spans="1:9" s="156" customFormat="1" x14ac:dyDescent="0.25">
      <c r="A103" s="183"/>
      <c r="B103" s="186">
        <v>3235</v>
      </c>
      <c r="C103" s="183"/>
      <c r="D103" s="159" t="s">
        <v>76</v>
      </c>
      <c r="E103" s="153"/>
      <c r="F103" s="153"/>
      <c r="G103" s="153"/>
      <c r="H103" s="153"/>
      <c r="I103" s="153"/>
    </row>
    <row r="104" spans="1:9" s="156" customFormat="1" ht="25.5" x14ac:dyDescent="0.25">
      <c r="A104" s="183"/>
      <c r="B104" s="186">
        <v>3236</v>
      </c>
      <c r="C104" s="183"/>
      <c r="D104" s="159" t="s">
        <v>77</v>
      </c>
      <c r="E104" s="153">
        <v>964.24</v>
      </c>
      <c r="F104" s="153">
        <v>2700</v>
      </c>
      <c r="G104" s="153">
        <f>1727+1000</f>
        <v>2727</v>
      </c>
      <c r="H104" s="153">
        <f>1727+1100</f>
        <v>2827</v>
      </c>
      <c r="I104" s="153">
        <f>1727+1100</f>
        <v>2827</v>
      </c>
    </row>
    <row r="105" spans="1:9" s="156" customFormat="1" x14ac:dyDescent="0.25">
      <c r="A105" s="183"/>
      <c r="B105" s="186">
        <v>3237</v>
      </c>
      <c r="C105" s="183"/>
      <c r="D105" s="159" t="s">
        <v>78</v>
      </c>
      <c r="E105" s="153">
        <v>3187.5</v>
      </c>
      <c r="F105" s="153"/>
      <c r="G105" s="153"/>
      <c r="H105" s="153"/>
      <c r="I105" s="153"/>
    </row>
    <row r="106" spans="1:9" s="156" customFormat="1" x14ac:dyDescent="0.25">
      <c r="A106" s="183"/>
      <c r="B106" s="186">
        <v>3238</v>
      </c>
      <c r="C106" s="183"/>
      <c r="D106" s="159" t="s">
        <v>79</v>
      </c>
      <c r="E106" s="153">
        <v>939.62</v>
      </c>
      <c r="F106" s="153">
        <v>1120</v>
      </c>
      <c r="G106" s="153">
        <v>1120</v>
      </c>
      <c r="H106" s="153">
        <v>1120</v>
      </c>
      <c r="I106" s="153">
        <v>1120</v>
      </c>
    </row>
    <row r="107" spans="1:9" s="156" customFormat="1" x14ac:dyDescent="0.25">
      <c r="A107" s="183"/>
      <c r="B107" s="186">
        <v>3239</v>
      </c>
      <c r="C107" s="183"/>
      <c r="D107" s="159" t="s">
        <v>80</v>
      </c>
      <c r="E107" s="153">
        <v>1467.69</v>
      </c>
      <c r="F107" s="153">
        <f>305+1027</f>
        <v>1332</v>
      </c>
      <c r="G107" s="153">
        <f>932+400</f>
        <v>1332</v>
      </c>
      <c r="H107" s="153">
        <f t="shared" ref="H107:I107" si="68">932+400</f>
        <v>1332</v>
      </c>
      <c r="I107" s="153">
        <f t="shared" si="68"/>
        <v>1332</v>
      </c>
    </row>
    <row r="108" spans="1:9" s="156" customFormat="1" ht="25.5" x14ac:dyDescent="0.25">
      <c r="A108" s="187"/>
      <c r="B108" s="188">
        <v>324</v>
      </c>
      <c r="C108" s="187"/>
      <c r="D108" s="158" t="s">
        <v>81</v>
      </c>
      <c r="E108" s="152">
        <f>E109</f>
        <v>0</v>
      </c>
      <c r="F108" s="152">
        <f t="shared" ref="F108:I108" si="69">F109</f>
        <v>0</v>
      </c>
      <c r="G108" s="152">
        <f t="shared" si="69"/>
        <v>0</v>
      </c>
      <c r="H108" s="152">
        <f t="shared" si="69"/>
        <v>0</v>
      </c>
      <c r="I108" s="152">
        <f t="shared" si="69"/>
        <v>0</v>
      </c>
    </row>
    <row r="109" spans="1:9" s="156" customFormat="1" ht="25.5" x14ac:dyDescent="0.25">
      <c r="A109" s="189"/>
      <c r="B109" s="190">
        <v>3241</v>
      </c>
      <c r="C109" s="189"/>
      <c r="D109" s="159" t="s">
        <v>108</v>
      </c>
      <c r="E109" s="154">
        <v>0</v>
      </c>
      <c r="F109" s="154"/>
      <c r="G109" s="154"/>
      <c r="H109" s="154"/>
      <c r="I109" s="154"/>
    </row>
    <row r="110" spans="1:9" s="156" customFormat="1" ht="25.5" x14ac:dyDescent="0.25">
      <c r="A110" s="187"/>
      <c r="B110" s="188">
        <v>329</v>
      </c>
      <c r="C110" s="187"/>
      <c r="D110" s="158" t="s">
        <v>82</v>
      </c>
      <c r="E110" s="152">
        <f>SUM(E111:E117)</f>
        <v>9961.8700000000008</v>
      </c>
      <c r="F110" s="152">
        <f t="shared" ref="F110" si="70">SUM(F111:F117)</f>
        <v>7490</v>
      </c>
      <c r="G110" s="152">
        <f t="shared" ref="G110:H110" si="71">SUM(G111:G117)</f>
        <v>6355</v>
      </c>
      <c r="H110" s="152">
        <f t="shared" si="71"/>
        <v>8055</v>
      </c>
      <c r="I110" s="152">
        <f t="shared" ref="I110" si="72">SUM(I111:I117)</f>
        <v>8155</v>
      </c>
    </row>
    <row r="111" spans="1:9" s="156" customFormat="1" ht="38.25" x14ac:dyDescent="0.25">
      <c r="A111" s="189"/>
      <c r="B111" s="186">
        <v>3291</v>
      </c>
      <c r="C111" s="183"/>
      <c r="D111" s="159" t="s">
        <v>83</v>
      </c>
      <c r="E111" s="153">
        <v>150</v>
      </c>
      <c r="F111" s="153"/>
      <c r="G111" s="153"/>
      <c r="H111" s="153"/>
      <c r="I111" s="153"/>
    </row>
    <row r="112" spans="1:9" s="156" customFormat="1" x14ac:dyDescent="0.25">
      <c r="A112" s="183"/>
      <c r="B112" s="186">
        <v>3292</v>
      </c>
      <c r="C112" s="183"/>
      <c r="D112" s="159" t="s">
        <v>84</v>
      </c>
      <c r="E112" s="153"/>
      <c r="F112" s="153"/>
      <c r="G112" s="153"/>
      <c r="H112" s="153"/>
      <c r="I112" s="153"/>
    </row>
    <row r="113" spans="1:9" s="156" customFormat="1" x14ac:dyDescent="0.25">
      <c r="A113" s="183"/>
      <c r="B113" s="186">
        <v>3293</v>
      </c>
      <c r="C113" s="183"/>
      <c r="D113" s="159" t="s">
        <v>85</v>
      </c>
      <c r="E113" s="153"/>
      <c r="F113" s="153"/>
      <c r="G113" s="153"/>
      <c r="H113" s="153"/>
      <c r="I113" s="153"/>
    </row>
    <row r="114" spans="1:9" s="156" customFormat="1" x14ac:dyDescent="0.25">
      <c r="A114" s="183"/>
      <c r="B114" s="186">
        <v>3294</v>
      </c>
      <c r="C114" s="183"/>
      <c r="D114" s="159" t="s">
        <v>86</v>
      </c>
      <c r="E114" s="153">
        <v>176.36</v>
      </c>
      <c r="F114" s="153">
        <v>190</v>
      </c>
      <c r="G114" s="153">
        <v>190</v>
      </c>
      <c r="H114" s="153">
        <v>190</v>
      </c>
      <c r="I114" s="153">
        <v>190</v>
      </c>
    </row>
    <row r="115" spans="1:9" s="156" customFormat="1" x14ac:dyDescent="0.25">
      <c r="A115" s="183"/>
      <c r="B115" s="186">
        <v>3295</v>
      </c>
      <c r="C115" s="183"/>
      <c r="D115" s="159" t="s">
        <v>87</v>
      </c>
      <c r="E115" s="153">
        <v>1678.71</v>
      </c>
      <c r="F115" s="153">
        <v>1800</v>
      </c>
      <c r="G115" s="153">
        <v>2300</v>
      </c>
      <c r="H115" s="153">
        <v>2400</v>
      </c>
      <c r="I115" s="153">
        <v>2500</v>
      </c>
    </row>
    <row r="116" spans="1:9" s="156" customFormat="1" x14ac:dyDescent="0.25">
      <c r="A116" s="183"/>
      <c r="B116" s="186">
        <v>3296</v>
      </c>
      <c r="C116" s="183"/>
      <c r="D116" s="159" t="s">
        <v>88</v>
      </c>
      <c r="E116" s="153"/>
      <c r="F116" s="153"/>
      <c r="G116" s="153"/>
      <c r="H116" s="153"/>
      <c r="I116" s="153"/>
    </row>
    <row r="117" spans="1:9" s="156" customFormat="1" ht="25.5" x14ac:dyDescent="0.25">
      <c r="A117" s="183"/>
      <c r="B117" s="186">
        <v>3299</v>
      </c>
      <c r="C117" s="183"/>
      <c r="D117" s="159" t="s">
        <v>47</v>
      </c>
      <c r="E117" s="153">
        <v>7956.8</v>
      </c>
      <c r="F117" s="153">
        <v>5500</v>
      </c>
      <c r="G117" s="153">
        <f>365+3500</f>
        <v>3865</v>
      </c>
      <c r="H117" s="153">
        <f>365+3800+1300</f>
        <v>5465</v>
      </c>
      <c r="I117" s="153">
        <f>365+3800+1300</f>
        <v>5465</v>
      </c>
    </row>
    <row r="118" spans="1:9" s="156" customFormat="1" x14ac:dyDescent="0.25">
      <c r="A118" s="169"/>
      <c r="B118" s="169"/>
      <c r="C118" s="170">
        <v>11</v>
      </c>
      <c r="D118" s="160" t="s">
        <v>13</v>
      </c>
      <c r="E118" s="99"/>
      <c r="F118" s="100"/>
      <c r="G118" s="100">
        <v>300</v>
      </c>
      <c r="H118" s="100">
        <v>100</v>
      </c>
      <c r="I118" s="100">
        <v>100</v>
      </c>
    </row>
    <row r="119" spans="1:9" s="156" customFormat="1" x14ac:dyDescent="0.25">
      <c r="A119" s="169"/>
      <c r="B119" s="169"/>
      <c r="C119" s="170">
        <v>31</v>
      </c>
      <c r="D119" s="160" t="s">
        <v>137</v>
      </c>
      <c r="E119" s="99">
        <v>2099.27</v>
      </c>
      <c r="F119" s="100">
        <v>3100</v>
      </c>
      <c r="G119" s="100">
        <v>2000</v>
      </c>
      <c r="H119" s="100">
        <v>2100</v>
      </c>
      <c r="I119" s="100">
        <v>2100</v>
      </c>
    </row>
    <row r="120" spans="1:9" s="156" customFormat="1" x14ac:dyDescent="0.25">
      <c r="A120" s="169"/>
      <c r="B120" s="169"/>
      <c r="C120" s="170">
        <v>44</v>
      </c>
      <c r="D120" s="160" t="s">
        <v>134</v>
      </c>
      <c r="E120" s="99">
        <v>31718.57</v>
      </c>
      <c r="F120" s="100">
        <v>27480</v>
      </c>
      <c r="G120" s="100">
        <v>27480</v>
      </c>
      <c r="H120" s="100">
        <v>27480</v>
      </c>
      <c r="I120" s="100">
        <v>27480</v>
      </c>
    </row>
    <row r="121" spans="1:9" s="156" customFormat="1" x14ac:dyDescent="0.25">
      <c r="A121" s="171"/>
      <c r="B121" s="169"/>
      <c r="C121" s="170">
        <v>51</v>
      </c>
      <c r="D121" s="160" t="s">
        <v>106</v>
      </c>
      <c r="E121" s="99">
        <v>243.21</v>
      </c>
      <c r="F121" s="100"/>
      <c r="G121" s="100">
        <v>110</v>
      </c>
      <c r="H121" s="101">
        <v>440</v>
      </c>
      <c r="I121" s="101">
        <v>440</v>
      </c>
    </row>
    <row r="122" spans="1:9" s="156" customFormat="1" x14ac:dyDescent="0.25">
      <c r="A122" s="171"/>
      <c r="B122" s="169"/>
      <c r="C122" s="170">
        <v>43</v>
      </c>
      <c r="D122" s="160" t="s">
        <v>38</v>
      </c>
      <c r="E122" s="99">
        <v>10452.17</v>
      </c>
      <c r="F122" s="100">
        <f>7500-535</f>
        <v>6965</v>
      </c>
      <c r="G122" s="100">
        <v>5000</v>
      </c>
      <c r="H122" s="101">
        <v>5300</v>
      </c>
      <c r="I122" s="101">
        <v>5300</v>
      </c>
    </row>
    <row r="123" spans="1:9" s="156" customFormat="1" x14ac:dyDescent="0.25">
      <c r="A123" s="171"/>
      <c r="B123" s="169"/>
      <c r="C123" s="170">
        <v>52</v>
      </c>
      <c r="D123" s="160" t="s">
        <v>37</v>
      </c>
      <c r="E123" s="99">
        <v>42884.07</v>
      </c>
      <c r="F123" s="100">
        <v>44292</v>
      </c>
      <c r="G123" s="100">
        <f>130+17000+22000+2300+1500+820</f>
        <v>43750</v>
      </c>
      <c r="H123" s="100">
        <v>46760</v>
      </c>
      <c r="I123" s="100">
        <v>46860</v>
      </c>
    </row>
    <row r="124" spans="1:9" s="156" customFormat="1" x14ac:dyDescent="0.25">
      <c r="A124" s="191"/>
      <c r="B124" s="192">
        <v>34</v>
      </c>
      <c r="C124" s="191"/>
      <c r="D124" s="157" t="s">
        <v>48</v>
      </c>
      <c r="E124" s="148">
        <f>E125</f>
        <v>462.05</v>
      </c>
      <c r="F124" s="148">
        <f t="shared" ref="F124:I124" si="73">F125</f>
        <v>520</v>
      </c>
      <c r="G124" s="148">
        <f t="shared" si="73"/>
        <v>520</v>
      </c>
      <c r="H124" s="148">
        <f t="shared" si="73"/>
        <v>520</v>
      </c>
      <c r="I124" s="148">
        <f t="shared" si="73"/>
        <v>520</v>
      </c>
    </row>
    <row r="125" spans="1:9" s="156" customFormat="1" x14ac:dyDescent="0.25">
      <c r="A125" s="187"/>
      <c r="B125" s="188">
        <v>343</v>
      </c>
      <c r="C125" s="187"/>
      <c r="D125" s="158" t="s">
        <v>49</v>
      </c>
      <c r="E125" s="152">
        <f>SUM(E126:E127)</f>
        <v>462.05</v>
      </c>
      <c r="F125" s="152">
        <f t="shared" ref="F125" si="74">SUM(F126:F127)</f>
        <v>520</v>
      </c>
      <c r="G125" s="152">
        <f t="shared" ref="G125:H125" si="75">SUM(G126:G127)</f>
        <v>520</v>
      </c>
      <c r="H125" s="152">
        <f t="shared" si="75"/>
        <v>520</v>
      </c>
      <c r="I125" s="152">
        <f t="shared" ref="I125" si="76">SUM(I126:I127)</f>
        <v>520</v>
      </c>
    </row>
    <row r="126" spans="1:9" s="156" customFormat="1" ht="25.5" x14ac:dyDescent="0.25">
      <c r="A126" s="189"/>
      <c r="B126" s="186">
        <v>3431</v>
      </c>
      <c r="C126" s="183"/>
      <c r="D126" s="159" t="s">
        <v>89</v>
      </c>
      <c r="E126" s="153">
        <v>462.05</v>
      </c>
      <c r="F126" s="153">
        <v>520</v>
      </c>
      <c r="G126" s="153">
        <v>520</v>
      </c>
      <c r="H126" s="153">
        <v>520</v>
      </c>
      <c r="I126" s="153">
        <v>520</v>
      </c>
    </row>
    <row r="127" spans="1:9" s="156" customFormat="1" x14ac:dyDescent="0.25">
      <c r="A127" s="183"/>
      <c r="B127" s="186">
        <v>3433</v>
      </c>
      <c r="C127" s="183"/>
      <c r="D127" s="159" t="s">
        <v>90</v>
      </c>
      <c r="E127" s="153">
        <v>0</v>
      </c>
      <c r="F127" s="153"/>
      <c r="G127" s="153"/>
      <c r="H127" s="153"/>
      <c r="I127" s="153"/>
    </row>
    <row r="128" spans="1:9" s="156" customFormat="1" x14ac:dyDescent="0.25">
      <c r="A128" s="169"/>
      <c r="B128" s="169"/>
      <c r="C128" s="170">
        <v>11</v>
      </c>
      <c r="D128" s="160" t="s">
        <v>13</v>
      </c>
      <c r="E128" s="99"/>
      <c r="F128" s="100"/>
      <c r="G128" s="100"/>
      <c r="H128" s="100"/>
      <c r="I128" s="100"/>
    </row>
    <row r="129" spans="1:9" s="156" customFormat="1" x14ac:dyDescent="0.25">
      <c r="A129" s="169"/>
      <c r="B129" s="169"/>
      <c r="C129" s="170">
        <v>31</v>
      </c>
      <c r="D129" s="160" t="s">
        <v>137</v>
      </c>
      <c r="E129" s="99"/>
      <c r="F129" s="100"/>
      <c r="G129" s="100"/>
      <c r="H129" s="100"/>
      <c r="I129" s="100"/>
    </row>
    <row r="130" spans="1:9" s="156" customFormat="1" x14ac:dyDescent="0.25">
      <c r="A130" s="169"/>
      <c r="B130" s="169"/>
      <c r="C130" s="170">
        <v>44</v>
      </c>
      <c r="D130" s="160" t="s">
        <v>134</v>
      </c>
      <c r="E130" s="155">
        <v>462.05</v>
      </c>
      <c r="F130" s="155">
        <v>520</v>
      </c>
      <c r="G130" s="155">
        <v>520</v>
      </c>
      <c r="H130" s="155">
        <v>520</v>
      </c>
      <c r="I130" s="155">
        <v>520</v>
      </c>
    </row>
    <row r="131" spans="1:9" s="156" customFormat="1" x14ac:dyDescent="0.25">
      <c r="A131" s="171"/>
      <c r="B131" s="169"/>
      <c r="C131" s="170">
        <v>51</v>
      </c>
      <c r="D131" s="160" t="s">
        <v>106</v>
      </c>
      <c r="E131" s="99"/>
      <c r="F131" s="100"/>
      <c r="G131" s="100"/>
      <c r="H131" s="101"/>
      <c r="I131" s="101"/>
    </row>
    <row r="132" spans="1:9" s="156" customFormat="1" x14ac:dyDescent="0.25">
      <c r="A132" s="171"/>
      <c r="B132" s="169"/>
      <c r="C132" s="170">
        <v>43</v>
      </c>
      <c r="D132" s="160" t="s">
        <v>38</v>
      </c>
      <c r="E132" s="99"/>
      <c r="F132" s="100"/>
      <c r="G132" s="100"/>
      <c r="H132" s="101"/>
      <c r="I132" s="101"/>
    </row>
    <row r="133" spans="1:9" s="156" customFormat="1" x14ac:dyDescent="0.25">
      <c r="A133" s="171"/>
      <c r="B133" s="169"/>
      <c r="C133" s="170">
        <v>52</v>
      </c>
      <c r="D133" s="160" t="s">
        <v>37</v>
      </c>
      <c r="E133" s="99"/>
      <c r="F133" s="100"/>
      <c r="G133" s="100"/>
      <c r="H133" s="101"/>
      <c r="I133" s="101"/>
    </row>
    <row r="134" spans="1:9" s="156" customFormat="1" ht="38.25" x14ac:dyDescent="0.25">
      <c r="A134" s="191"/>
      <c r="B134" s="192">
        <v>37</v>
      </c>
      <c r="C134" s="191"/>
      <c r="D134" s="157" t="s">
        <v>50</v>
      </c>
      <c r="E134" s="148">
        <f>E135</f>
        <v>3374.96</v>
      </c>
      <c r="F134" s="148">
        <f t="shared" ref="F134:I134" si="77">F135</f>
        <v>3500</v>
      </c>
      <c r="G134" s="148">
        <f t="shared" si="77"/>
        <v>5700</v>
      </c>
      <c r="H134" s="148">
        <f t="shared" si="77"/>
        <v>4200</v>
      </c>
      <c r="I134" s="148">
        <f t="shared" si="77"/>
        <v>4200</v>
      </c>
    </row>
    <row r="135" spans="1:9" s="156" customFormat="1" ht="25.5" x14ac:dyDescent="0.25">
      <c r="A135" s="187"/>
      <c r="B135" s="188">
        <v>372</v>
      </c>
      <c r="C135" s="187"/>
      <c r="D135" s="158" t="s">
        <v>51</v>
      </c>
      <c r="E135" s="152">
        <f>SUM(E136:E137)</f>
        <v>3374.96</v>
      </c>
      <c r="F135" s="152">
        <f t="shared" ref="F135" si="78">SUM(F136:F137)</f>
        <v>3500</v>
      </c>
      <c r="G135" s="152">
        <f t="shared" ref="G135:H135" si="79">SUM(G136:G137)</f>
        <v>5700</v>
      </c>
      <c r="H135" s="152">
        <f t="shared" si="79"/>
        <v>4200</v>
      </c>
      <c r="I135" s="152">
        <f t="shared" ref="I135" si="80">SUM(I136:I137)</f>
        <v>4200</v>
      </c>
    </row>
    <row r="136" spans="1:9" s="156" customFormat="1" ht="25.5" x14ac:dyDescent="0.25">
      <c r="A136" s="189"/>
      <c r="B136" s="186">
        <v>3721</v>
      </c>
      <c r="C136" s="183"/>
      <c r="D136" s="159" t="s">
        <v>91</v>
      </c>
      <c r="E136" s="153"/>
      <c r="F136" s="153"/>
      <c r="G136" s="153"/>
      <c r="H136" s="153"/>
      <c r="I136" s="153"/>
    </row>
    <row r="137" spans="1:9" s="156" customFormat="1" ht="25.5" x14ac:dyDescent="0.25">
      <c r="A137" s="183"/>
      <c r="B137" s="186">
        <v>3722</v>
      </c>
      <c r="C137" s="183"/>
      <c r="D137" s="159" t="s">
        <v>92</v>
      </c>
      <c r="E137" s="153">
        <v>3374.96</v>
      </c>
      <c r="F137" s="153">
        <v>3500</v>
      </c>
      <c r="G137" s="153">
        <v>5700</v>
      </c>
      <c r="H137" s="153">
        <f>7000-2800</f>
        <v>4200</v>
      </c>
      <c r="I137" s="153">
        <v>4200</v>
      </c>
    </row>
    <row r="138" spans="1:9" s="156" customFormat="1" x14ac:dyDescent="0.25">
      <c r="A138" s="169"/>
      <c r="B138" s="169"/>
      <c r="C138" s="170">
        <v>11</v>
      </c>
      <c r="D138" s="160" t="s">
        <v>13</v>
      </c>
      <c r="E138" s="99"/>
      <c r="F138" s="100"/>
      <c r="G138" s="100"/>
      <c r="H138" s="100"/>
      <c r="I138" s="100"/>
    </row>
    <row r="139" spans="1:9" s="156" customFormat="1" x14ac:dyDescent="0.25">
      <c r="A139" s="169"/>
      <c r="B139" s="169"/>
      <c r="C139" s="170">
        <v>31</v>
      </c>
      <c r="D139" s="160" t="s">
        <v>137</v>
      </c>
      <c r="E139" s="99"/>
      <c r="F139" s="100"/>
      <c r="G139" s="100"/>
      <c r="H139" s="100"/>
      <c r="I139" s="100"/>
    </row>
    <row r="140" spans="1:9" s="156" customFormat="1" x14ac:dyDescent="0.25">
      <c r="A140" s="169"/>
      <c r="B140" s="169"/>
      <c r="C140" s="170">
        <v>44</v>
      </c>
      <c r="D140" s="160" t="s">
        <v>134</v>
      </c>
      <c r="E140" s="99"/>
      <c r="F140" s="100"/>
      <c r="G140" s="100"/>
      <c r="H140" s="100"/>
      <c r="I140" s="100"/>
    </row>
    <row r="141" spans="1:9" s="156" customFormat="1" x14ac:dyDescent="0.25">
      <c r="A141" s="171"/>
      <c r="B141" s="169"/>
      <c r="C141" s="170">
        <v>51</v>
      </c>
      <c r="D141" s="160" t="s">
        <v>106</v>
      </c>
      <c r="E141" s="99"/>
      <c r="F141" s="100"/>
      <c r="G141" s="100"/>
      <c r="H141" s="101"/>
      <c r="I141" s="101"/>
    </row>
    <row r="142" spans="1:9" s="156" customFormat="1" x14ac:dyDescent="0.25">
      <c r="A142" s="171"/>
      <c r="B142" s="169"/>
      <c r="C142" s="170">
        <v>43</v>
      </c>
      <c r="D142" s="160" t="s">
        <v>38</v>
      </c>
      <c r="E142" s="99"/>
      <c r="F142" s="100"/>
      <c r="G142" s="100"/>
      <c r="H142" s="101"/>
      <c r="I142" s="101"/>
    </row>
    <row r="143" spans="1:9" s="156" customFormat="1" x14ac:dyDescent="0.25">
      <c r="A143" s="171"/>
      <c r="B143" s="169"/>
      <c r="C143" s="170">
        <v>52</v>
      </c>
      <c r="D143" s="160" t="s">
        <v>37</v>
      </c>
      <c r="E143" s="99">
        <f t="shared" ref="E143:H143" si="81">E137</f>
        <v>3374.96</v>
      </c>
      <c r="F143" s="99">
        <f t="shared" ref="F143" si="82">F137</f>
        <v>3500</v>
      </c>
      <c r="G143" s="99">
        <f t="shared" si="81"/>
        <v>5700</v>
      </c>
      <c r="H143" s="99">
        <f t="shared" si="81"/>
        <v>4200</v>
      </c>
      <c r="I143" s="99">
        <f t="shared" ref="I143" si="83">I137</f>
        <v>4200</v>
      </c>
    </row>
    <row r="144" spans="1:9" s="156" customFormat="1" ht="38.25" x14ac:dyDescent="0.25">
      <c r="A144" s="203"/>
      <c r="B144" s="204">
        <v>4</v>
      </c>
      <c r="C144" s="203"/>
      <c r="D144" s="202" t="s">
        <v>40</v>
      </c>
      <c r="E144" s="205">
        <f>E145</f>
        <v>11140.23</v>
      </c>
      <c r="F144" s="205">
        <f t="shared" ref="F144:I144" si="84">F145</f>
        <v>4485</v>
      </c>
      <c r="G144" s="205">
        <f t="shared" si="84"/>
        <v>3300</v>
      </c>
      <c r="H144" s="205">
        <f t="shared" si="84"/>
        <v>3300</v>
      </c>
      <c r="I144" s="205">
        <f t="shared" si="84"/>
        <v>3300</v>
      </c>
    </row>
    <row r="145" spans="1:9" s="156" customFormat="1" ht="38.25" x14ac:dyDescent="0.25">
      <c r="A145" s="191"/>
      <c r="B145" s="192">
        <v>42</v>
      </c>
      <c r="C145" s="191"/>
      <c r="D145" s="157" t="s">
        <v>40</v>
      </c>
      <c r="E145" s="148">
        <f>SUM(E146,E153)</f>
        <v>11140.23</v>
      </c>
      <c r="F145" s="148">
        <f t="shared" ref="F145" si="85">SUM(F146,F153)</f>
        <v>4485</v>
      </c>
      <c r="G145" s="148">
        <f t="shared" ref="G145:H145" si="86">SUM(G146,G153)</f>
        <v>3300</v>
      </c>
      <c r="H145" s="148">
        <f t="shared" si="86"/>
        <v>3300</v>
      </c>
      <c r="I145" s="148">
        <f t="shared" ref="I145" si="87">SUM(I146,I153)</f>
        <v>3300</v>
      </c>
    </row>
    <row r="146" spans="1:9" s="156" customFormat="1" x14ac:dyDescent="0.25">
      <c r="A146" s="187"/>
      <c r="B146" s="188">
        <v>422</v>
      </c>
      <c r="C146" s="187"/>
      <c r="D146" s="158" t="s">
        <v>52</v>
      </c>
      <c r="E146" s="152">
        <f t="shared" ref="E146:H146" si="88">SUM(E147:E152)</f>
        <v>6431.94</v>
      </c>
      <c r="F146" s="152">
        <f t="shared" ref="F146" si="89">SUM(F147:F152)</f>
        <v>0</v>
      </c>
      <c r="G146" s="152">
        <f t="shared" si="88"/>
        <v>0</v>
      </c>
      <c r="H146" s="152">
        <f t="shared" si="88"/>
        <v>0</v>
      </c>
      <c r="I146" s="152">
        <f t="shared" ref="I146" si="90">SUM(I147:I152)</f>
        <v>0</v>
      </c>
    </row>
    <row r="147" spans="1:9" s="156" customFormat="1" x14ac:dyDescent="0.25">
      <c r="A147" s="189"/>
      <c r="B147" s="186">
        <v>4221</v>
      </c>
      <c r="C147" s="183"/>
      <c r="D147" s="159" t="s">
        <v>93</v>
      </c>
      <c r="E147" s="153"/>
      <c r="F147" s="153"/>
      <c r="G147" s="153"/>
      <c r="H147" s="153"/>
      <c r="I147" s="153"/>
    </row>
    <row r="148" spans="1:9" s="156" customFormat="1" x14ac:dyDescent="0.25">
      <c r="A148" s="183"/>
      <c r="B148" s="186">
        <v>4222</v>
      </c>
      <c r="C148" s="183"/>
      <c r="D148" s="159" t="s">
        <v>94</v>
      </c>
      <c r="E148" s="153"/>
      <c r="F148" s="153"/>
      <c r="G148" s="153"/>
      <c r="H148" s="153"/>
      <c r="I148" s="153"/>
    </row>
    <row r="149" spans="1:9" s="156" customFormat="1" x14ac:dyDescent="0.25">
      <c r="A149" s="183"/>
      <c r="B149" s="186">
        <v>4223</v>
      </c>
      <c r="C149" s="183"/>
      <c r="D149" s="159" t="s">
        <v>95</v>
      </c>
      <c r="E149" s="153"/>
      <c r="F149" s="153"/>
      <c r="G149" s="153"/>
      <c r="H149" s="153"/>
      <c r="I149" s="153"/>
    </row>
    <row r="150" spans="1:9" s="156" customFormat="1" x14ac:dyDescent="0.25">
      <c r="A150" s="183"/>
      <c r="B150" s="186">
        <v>4225</v>
      </c>
      <c r="C150" s="183"/>
      <c r="D150" s="159" t="s">
        <v>96</v>
      </c>
      <c r="E150" s="153"/>
      <c r="F150" s="153"/>
      <c r="G150" s="153"/>
      <c r="H150" s="153"/>
      <c r="I150" s="153"/>
    </row>
    <row r="151" spans="1:9" s="156" customFormat="1" x14ac:dyDescent="0.25">
      <c r="A151" s="183"/>
      <c r="B151" s="186">
        <v>4226</v>
      </c>
      <c r="C151" s="183"/>
      <c r="D151" s="159" t="s">
        <v>97</v>
      </c>
      <c r="E151" s="153">
        <v>0</v>
      </c>
      <c r="F151" s="153"/>
      <c r="G151" s="153"/>
      <c r="H151" s="153"/>
      <c r="I151" s="153"/>
    </row>
    <row r="152" spans="1:9" s="156" customFormat="1" ht="25.5" x14ac:dyDescent="0.25">
      <c r="A152" s="183"/>
      <c r="B152" s="186">
        <v>4227</v>
      </c>
      <c r="C152" s="183"/>
      <c r="D152" s="159" t="s">
        <v>98</v>
      </c>
      <c r="E152" s="153">
        <v>6431.94</v>
      </c>
      <c r="F152" s="153"/>
      <c r="G152" s="153"/>
      <c r="H152" s="153"/>
      <c r="I152" s="153"/>
    </row>
    <row r="153" spans="1:9" s="156" customFormat="1" ht="25.5" x14ac:dyDescent="0.25">
      <c r="A153" s="187"/>
      <c r="B153" s="188">
        <v>424</v>
      </c>
      <c r="C153" s="187"/>
      <c r="D153" s="158" t="s">
        <v>53</v>
      </c>
      <c r="E153" s="152">
        <f>E154</f>
        <v>4708.29</v>
      </c>
      <c r="F153" s="152">
        <f t="shared" ref="F153:I153" si="91">F154</f>
        <v>4485</v>
      </c>
      <c r="G153" s="152">
        <f t="shared" si="91"/>
        <v>3300</v>
      </c>
      <c r="H153" s="152">
        <f t="shared" si="91"/>
        <v>3300</v>
      </c>
      <c r="I153" s="152">
        <f t="shared" si="91"/>
        <v>3300</v>
      </c>
    </row>
    <row r="154" spans="1:9" s="156" customFormat="1" x14ac:dyDescent="0.25">
      <c r="A154" s="189"/>
      <c r="B154" s="193">
        <v>4241</v>
      </c>
      <c r="C154" s="183"/>
      <c r="D154" s="159" t="s">
        <v>99</v>
      </c>
      <c r="E154" s="153">
        <v>4708.29</v>
      </c>
      <c r="F154" s="153">
        <f>535+3950</f>
        <v>4485</v>
      </c>
      <c r="G154" s="153">
        <v>3300</v>
      </c>
      <c r="H154" s="153">
        <v>3300</v>
      </c>
      <c r="I154" s="153">
        <v>3300</v>
      </c>
    </row>
    <row r="155" spans="1:9" s="156" customFormat="1" x14ac:dyDescent="0.25">
      <c r="A155" s="169"/>
      <c r="B155" s="169"/>
      <c r="C155" s="170">
        <v>11</v>
      </c>
      <c r="D155" s="160" t="s">
        <v>13</v>
      </c>
      <c r="E155" s="99"/>
      <c r="F155" s="100"/>
      <c r="G155" s="100"/>
      <c r="H155" s="100"/>
      <c r="I155" s="100"/>
    </row>
    <row r="156" spans="1:9" s="156" customFormat="1" x14ac:dyDescent="0.25">
      <c r="A156" s="169"/>
      <c r="B156" s="169"/>
      <c r="C156" s="170">
        <v>31</v>
      </c>
      <c r="D156" s="160" t="s">
        <v>137</v>
      </c>
      <c r="E156" s="99">
        <v>968</v>
      </c>
      <c r="F156" s="100"/>
      <c r="G156" s="100"/>
      <c r="H156" s="100"/>
      <c r="I156" s="100"/>
    </row>
    <row r="157" spans="1:9" s="156" customFormat="1" x14ac:dyDescent="0.25">
      <c r="A157" s="169"/>
      <c r="B157" s="169"/>
      <c r="C157" s="170">
        <v>44</v>
      </c>
      <c r="D157" s="160" t="s">
        <v>134</v>
      </c>
      <c r="E157" s="99">
        <v>3263.94</v>
      </c>
      <c r="F157" s="100"/>
      <c r="G157" s="100"/>
      <c r="H157" s="100"/>
      <c r="I157" s="100"/>
    </row>
    <row r="158" spans="1:9" s="156" customFormat="1" x14ac:dyDescent="0.25">
      <c r="A158" s="171"/>
      <c r="B158" s="169"/>
      <c r="C158" s="170">
        <v>51</v>
      </c>
      <c r="D158" s="160" t="s">
        <v>106</v>
      </c>
      <c r="E158" s="99"/>
      <c r="F158" s="100"/>
      <c r="G158" s="100"/>
      <c r="H158" s="101"/>
      <c r="I158" s="101"/>
    </row>
    <row r="159" spans="1:9" s="156" customFormat="1" x14ac:dyDescent="0.25">
      <c r="A159" s="171"/>
      <c r="B159" s="169"/>
      <c r="C159" s="170">
        <v>43</v>
      </c>
      <c r="D159" s="160" t="s">
        <v>38</v>
      </c>
      <c r="E159" s="99">
        <v>655.23</v>
      </c>
      <c r="F159" s="100">
        <v>535</v>
      </c>
      <c r="G159" s="100">
        <v>500</v>
      </c>
      <c r="H159" s="101">
        <v>500</v>
      </c>
      <c r="I159" s="101">
        <v>500</v>
      </c>
    </row>
    <row r="160" spans="1:9" s="156" customFormat="1" x14ac:dyDescent="0.25">
      <c r="A160" s="171"/>
      <c r="B160" s="169"/>
      <c r="C160" s="170">
        <v>52</v>
      </c>
      <c r="D160" s="160" t="s">
        <v>37</v>
      </c>
      <c r="E160" s="99">
        <v>6253.06</v>
      </c>
      <c r="F160" s="100">
        <v>3950</v>
      </c>
      <c r="G160" s="100">
        <f>2800</f>
        <v>2800</v>
      </c>
      <c r="H160" s="101">
        <v>2800</v>
      </c>
      <c r="I160" s="101">
        <v>2800</v>
      </c>
    </row>
    <row r="161" spans="1:9" s="156" customFormat="1" x14ac:dyDescent="0.25">
      <c r="A161" s="245" t="s">
        <v>109</v>
      </c>
      <c r="B161" s="246"/>
      <c r="C161" s="246"/>
      <c r="D161" s="247"/>
      <c r="E161" s="205">
        <f t="shared" ref="E161:H161" si="92">SUM(E67,E144)</f>
        <v>625771.53</v>
      </c>
      <c r="F161" s="205">
        <f t="shared" ref="F161" si="93">SUM(F67,F144)</f>
        <v>601523</v>
      </c>
      <c r="G161" s="205">
        <f t="shared" si="92"/>
        <v>858810</v>
      </c>
      <c r="H161" s="205">
        <f t="shared" si="92"/>
        <v>882785</v>
      </c>
      <c r="I161" s="205">
        <f t="shared" ref="I161" si="94">SUM(I67,I144)</f>
        <v>888785</v>
      </c>
    </row>
    <row r="162" spans="1:9" s="147" customFormat="1" x14ac:dyDescent="0.25"/>
    <row r="163" spans="1:9" s="147" customFormat="1" x14ac:dyDescent="0.25"/>
  </sheetData>
  <mergeCells count="7">
    <mergeCell ref="A161:D161"/>
    <mergeCell ref="A7:H7"/>
    <mergeCell ref="A64:H64"/>
    <mergeCell ref="A1:H1"/>
    <mergeCell ref="A3:H3"/>
    <mergeCell ref="A5:H5"/>
    <mergeCell ref="D2:G2"/>
  </mergeCells>
  <pageMargins left="0.25" right="0.25" top="0.75" bottom="0.75" header="0.3" footer="0.3"/>
  <pageSetup paperSize="9" scale="9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7" workbookViewId="0">
      <selection activeCell="F34" sqref="F34"/>
    </sheetView>
  </sheetViews>
  <sheetFormatPr defaultRowHeight="15" x14ac:dyDescent="0.25"/>
  <cols>
    <col min="1" max="1" width="25.28515625" customWidth="1"/>
    <col min="2" max="2" width="23.28515625" customWidth="1"/>
    <col min="3" max="6" width="25.28515625" customWidth="1"/>
  </cols>
  <sheetData>
    <row r="1" spans="1:8" ht="42" customHeight="1" x14ac:dyDescent="0.25">
      <c r="A1" s="222" t="s">
        <v>176</v>
      </c>
      <c r="B1" s="222"/>
      <c r="C1" s="222"/>
      <c r="D1" s="222"/>
      <c r="E1" s="222"/>
      <c r="F1" s="222"/>
      <c r="G1" s="222"/>
      <c r="H1" s="222"/>
    </row>
    <row r="2" spans="1:8" ht="18" customHeight="1" x14ac:dyDescent="0.25">
      <c r="A2" s="24"/>
      <c r="B2" s="24"/>
      <c r="C2" s="24"/>
      <c r="D2" s="251" t="s">
        <v>181</v>
      </c>
      <c r="E2" s="252"/>
      <c r="F2" s="252"/>
      <c r="G2" s="252"/>
      <c r="H2" s="24"/>
    </row>
    <row r="3" spans="1:8" ht="15.75" customHeight="1" x14ac:dyDescent="0.25">
      <c r="A3" s="222" t="s">
        <v>25</v>
      </c>
      <c r="B3" s="222"/>
      <c r="C3" s="222"/>
      <c r="D3" s="222"/>
      <c r="E3" s="222"/>
      <c r="F3" s="222"/>
    </row>
    <row r="4" spans="1:8" ht="18" x14ac:dyDescent="0.25">
      <c r="B4" s="24"/>
      <c r="C4" s="24"/>
      <c r="D4" s="24"/>
      <c r="E4" s="5"/>
      <c r="F4" s="5"/>
    </row>
    <row r="5" spans="1:8" ht="18" customHeight="1" x14ac:dyDescent="0.25">
      <c r="A5" s="222" t="s">
        <v>8</v>
      </c>
      <c r="B5" s="222"/>
      <c r="C5" s="222"/>
      <c r="D5" s="222"/>
      <c r="E5" s="222"/>
      <c r="F5" s="222"/>
    </row>
    <row r="6" spans="1:8" ht="18" x14ac:dyDescent="0.25">
      <c r="A6" s="24"/>
      <c r="B6" s="24"/>
      <c r="C6" s="24"/>
      <c r="D6" s="24"/>
      <c r="E6" s="5"/>
      <c r="F6" s="5"/>
    </row>
    <row r="7" spans="1:8" ht="15.75" customHeight="1" x14ac:dyDescent="0.25">
      <c r="A7" s="222" t="s">
        <v>167</v>
      </c>
      <c r="B7" s="222"/>
      <c r="C7" s="222"/>
      <c r="D7" s="222"/>
      <c r="E7" s="222"/>
      <c r="F7" s="222"/>
    </row>
    <row r="8" spans="1:8" ht="18" x14ac:dyDescent="0.25">
      <c r="A8" s="24"/>
      <c r="B8" s="24"/>
      <c r="C8" s="24"/>
      <c r="D8" s="24"/>
      <c r="E8" s="5"/>
      <c r="F8" s="5"/>
    </row>
    <row r="9" spans="1:8" ht="25.5" x14ac:dyDescent="0.25">
      <c r="A9" s="20" t="s">
        <v>161</v>
      </c>
      <c r="B9" s="19" t="s">
        <v>182</v>
      </c>
      <c r="C9" s="20" t="s">
        <v>178</v>
      </c>
      <c r="D9" s="20" t="s">
        <v>183</v>
      </c>
      <c r="E9" s="20" t="s">
        <v>160</v>
      </c>
      <c r="F9" s="20" t="s">
        <v>184</v>
      </c>
    </row>
    <row r="10" spans="1:8" x14ac:dyDescent="0.25">
      <c r="A10" s="139" t="s">
        <v>0</v>
      </c>
      <c r="B10" s="144">
        <f>B11+B13+B15+B18</f>
        <v>622269.11999999988</v>
      </c>
      <c r="C10" s="144">
        <f t="shared" ref="C10:F10" si="0">C11+C13+C15+C18</f>
        <v>601550</v>
      </c>
      <c r="D10" s="144">
        <f t="shared" si="0"/>
        <v>858810</v>
      </c>
      <c r="E10" s="144">
        <f t="shared" si="0"/>
        <v>882785</v>
      </c>
      <c r="F10" s="144">
        <f t="shared" si="0"/>
        <v>888785</v>
      </c>
    </row>
    <row r="11" spans="1:8" x14ac:dyDescent="0.25">
      <c r="A11" s="130" t="s">
        <v>159</v>
      </c>
      <c r="B11" s="134">
        <f>B12</f>
        <v>955.62</v>
      </c>
      <c r="C11" s="134">
        <f t="shared" ref="C11:F11" si="1">C12</f>
        <v>0</v>
      </c>
      <c r="D11" s="134">
        <f t="shared" si="1"/>
        <v>8800</v>
      </c>
      <c r="E11" s="134">
        <f t="shared" si="1"/>
        <v>9000</v>
      </c>
      <c r="F11" s="134">
        <f t="shared" si="1"/>
        <v>9000</v>
      </c>
    </row>
    <row r="12" spans="1:8" x14ac:dyDescent="0.25">
      <c r="A12" s="13" t="s">
        <v>158</v>
      </c>
      <c r="B12" s="93">
        <v>955.62</v>
      </c>
      <c r="C12" s="93"/>
      <c r="D12" s="93">
        <v>8800</v>
      </c>
      <c r="E12" s="93">
        <v>9000</v>
      </c>
      <c r="F12" s="93">
        <v>9000</v>
      </c>
    </row>
    <row r="13" spans="1:8" x14ac:dyDescent="0.25">
      <c r="A13" s="130" t="s">
        <v>157</v>
      </c>
      <c r="B13" s="80">
        <f>B14</f>
        <v>3043.8</v>
      </c>
      <c r="C13" s="80">
        <f t="shared" ref="C13:F13" si="2">C14</f>
        <v>3100</v>
      </c>
      <c r="D13" s="80">
        <f t="shared" si="2"/>
        <v>2000</v>
      </c>
      <c r="E13" s="80">
        <f t="shared" si="2"/>
        <v>2100</v>
      </c>
      <c r="F13" s="80">
        <f t="shared" si="2"/>
        <v>2100</v>
      </c>
    </row>
    <row r="14" spans="1:8" x14ac:dyDescent="0.25">
      <c r="A14" s="13" t="s">
        <v>156</v>
      </c>
      <c r="B14" s="78">
        <v>3043.8</v>
      </c>
      <c r="C14" s="78">
        <v>3100</v>
      </c>
      <c r="D14" s="78">
        <v>2000</v>
      </c>
      <c r="E14" s="78">
        <v>2100</v>
      </c>
      <c r="F14" s="78">
        <v>2100</v>
      </c>
    </row>
    <row r="15" spans="1:8" ht="25.5" x14ac:dyDescent="0.25">
      <c r="A15" s="131" t="s">
        <v>166</v>
      </c>
      <c r="B15" s="80">
        <f>B16+B17</f>
        <v>44458.3</v>
      </c>
      <c r="C15" s="80">
        <f t="shared" ref="C15:F15" si="3">C16+C17</f>
        <v>35500</v>
      </c>
      <c r="D15" s="80">
        <f t="shared" si="3"/>
        <v>33500</v>
      </c>
      <c r="E15" s="80">
        <f t="shared" si="3"/>
        <v>33800</v>
      </c>
      <c r="F15" s="80">
        <f t="shared" si="3"/>
        <v>33800</v>
      </c>
    </row>
    <row r="16" spans="1:8" ht="25.5" x14ac:dyDescent="0.25">
      <c r="A16" s="17" t="s">
        <v>165</v>
      </c>
      <c r="B16" s="78">
        <v>12027.97</v>
      </c>
      <c r="C16" s="78">
        <v>7500</v>
      </c>
      <c r="D16" s="78">
        <v>5500</v>
      </c>
      <c r="E16" s="78">
        <v>5800</v>
      </c>
      <c r="F16" s="78">
        <v>5800</v>
      </c>
    </row>
    <row r="17" spans="1:6" ht="23.25" customHeight="1" x14ac:dyDescent="0.25">
      <c r="A17" s="17" t="s">
        <v>170</v>
      </c>
      <c r="B17" s="78">
        <v>32430.33</v>
      </c>
      <c r="C17" s="78">
        <v>28000</v>
      </c>
      <c r="D17" s="78">
        <v>28000</v>
      </c>
      <c r="E17" s="78">
        <v>28000</v>
      </c>
      <c r="F17" s="78">
        <v>28000</v>
      </c>
    </row>
    <row r="18" spans="1:6" x14ac:dyDescent="0.25">
      <c r="A18" s="132" t="s">
        <v>164</v>
      </c>
      <c r="B18" s="80">
        <f>B19+B20</f>
        <v>573811.39999999991</v>
      </c>
      <c r="C18" s="80">
        <f t="shared" ref="C18:F18" si="4">C19+C20</f>
        <v>562950</v>
      </c>
      <c r="D18" s="80">
        <f t="shared" si="4"/>
        <v>814510</v>
      </c>
      <c r="E18" s="80">
        <f t="shared" si="4"/>
        <v>837885</v>
      </c>
      <c r="F18" s="80">
        <f t="shared" si="4"/>
        <v>843885</v>
      </c>
    </row>
    <row r="19" spans="1:6" x14ac:dyDescent="0.25">
      <c r="A19" s="13" t="s">
        <v>169</v>
      </c>
      <c r="B19" s="78">
        <v>243.21</v>
      </c>
      <c r="C19" s="78"/>
      <c r="D19" s="78">
        <v>18110</v>
      </c>
      <c r="E19" s="78">
        <v>20000</v>
      </c>
      <c r="F19" s="78">
        <v>20000</v>
      </c>
    </row>
    <row r="20" spans="1:6" x14ac:dyDescent="0.25">
      <c r="A20" s="13" t="s">
        <v>163</v>
      </c>
      <c r="B20" s="78">
        <v>573568.18999999994</v>
      </c>
      <c r="C20" s="78">
        <v>562950</v>
      </c>
      <c r="D20" s="78">
        <v>796400</v>
      </c>
      <c r="E20" s="78">
        <v>817885</v>
      </c>
      <c r="F20" s="78">
        <v>823885</v>
      </c>
    </row>
    <row r="23" spans="1:6" ht="15.75" customHeight="1" x14ac:dyDescent="0.25">
      <c r="A23" s="222" t="s">
        <v>162</v>
      </c>
      <c r="B23" s="222"/>
      <c r="C23" s="222"/>
      <c r="D23" s="222"/>
      <c r="E23" s="222"/>
      <c r="F23" s="222"/>
    </row>
    <row r="24" spans="1:6" ht="18" x14ac:dyDescent="0.25">
      <c r="A24" s="24"/>
      <c r="B24" s="24"/>
      <c r="C24" s="24"/>
      <c r="D24" s="24"/>
      <c r="E24" s="5"/>
      <c r="F24" s="5"/>
    </row>
    <row r="25" spans="1:6" ht="25.5" x14ac:dyDescent="0.25">
      <c r="A25" s="20" t="s">
        <v>161</v>
      </c>
      <c r="B25" s="19" t="s">
        <v>182</v>
      </c>
      <c r="C25" s="20" t="s">
        <v>178</v>
      </c>
      <c r="D25" s="20" t="s">
        <v>183</v>
      </c>
      <c r="E25" s="20" t="s">
        <v>160</v>
      </c>
      <c r="F25" s="20" t="s">
        <v>184</v>
      </c>
    </row>
    <row r="26" spans="1:6" x14ac:dyDescent="0.25">
      <c r="A26" s="124" t="s">
        <v>2</v>
      </c>
      <c r="B26" s="144">
        <f>B27+B29+B31+B34</f>
        <v>625771.52999999991</v>
      </c>
      <c r="C26" s="144">
        <f t="shared" ref="C26" si="5">C27+C29+C31+C34</f>
        <v>601550</v>
      </c>
      <c r="D26" s="144">
        <f t="shared" ref="D26" si="6">D27+D29+D31+D34</f>
        <v>858810</v>
      </c>
      <c r="E26" s="144">
        <f t="shared" ref="E26" si="7">E27+E29+E31+E34</f>
        <v>882785</v>
      </c>
      <c r="F26" s="144">
        <f t="shared" ref="F26" si="8">F27+F29+F31+F34</f>
        <v>888785</v>
      </c>
    </row>
    <row r="27" spans="1:6" s="133" customFormat="1" x14ac:dyDescent="0.25">
      <c r="A27" s="130" t="s">
        <v>159</v>
      </c>
      <c r="B27" s="134">
        <f>B28</f>
        <v>955.62</v>
      </c>
      <c r="C27" s="134">
        <f t="shared" ref="C27:D27" si="9">C28</f>
        <v>0</v>
      </c>
      <c r="D27" s="134">
        <f t="shared" si="9"/>
        <v>8800</v>
      </c>
      <c r="E27" s="134">
        <f t="shared" ref="E27" si="10">E28</f>
        <v>9000</v>
      </c>
      <c r="F27" s="134">
        <f t="shared" ref="F27" si="11">F28</f>
        <v>9000</v>
      </c>
    </row>
    <row r="28" spans="1:6" x14ac:dyDescent="0.25">
      <c r="A28" s="13" t="s">
        <v>158</v>
      </c>
      <c r="B28" s="93">
        <v>955.62</v>
      </c>
      <c r="C28" s="93"/>
      <c r="D28" s="93">
        <v>8800</v>
      </c>
      <c r="E28" s="93">
        <v>9000</v>
      </c>
      <c r="F28" s="93">
        <v>9000</v>
      </c>
    </row>
    <row r="29" spans="1:6" x14ac:dyDescent="0.25">
      <c r="A29" s="130" t="s">
        <v>157</v>
      </c>
      <c r="B29" s="80">
        <f>B30</f>
        <v>3067.27</v>
      </c>
      <c r="C29" s="80">
        <f t="shared" ref="C29:F29" si="12">C30</f>
        <v>3100</v>
      </c>
      <c r="D29" s="80">
        <f t="shared" si="12"/>
        <v>2000</v>
      </c>
      <c r="E29" s="80">
        <f t="shared" si="12"/>
        <v>2100</v>
      </c>
      <c r="F29" s="80">
        <f t="shared" si="12"/>
        <v>2100</v>
      </c>
    </row>
    <row r="30" spans="1:6" x14ac:dyDescent="0.25">
      <c r="A30" s="13" t="s">
        <v>156</v>
      </c>
      <c r="B30" s="78">
        <f>2099.27+968</f>
        <v>3067.27</v>
      </c>
      <c r="C30" s="78">
        <v>3100</v>
      </c>
      <c r="D30" s="78">
        <v>2000</v>
      </c>
      <c r="E30" s="78">
        <v>2100</v>
      </c>
      <c r="F30" s="78">
        <v>2100</v>
      </c>
    </row>
    <row r="31" spans="1:6" ht="25.5" x14ac:dyDescent="0.25">
      <c r="A31" s="131" t="s">
        <v>166</v>
      </c>
      <c r="B31" s="80">
        <f>B32+B33</f>
        <v>46571.96</v>
      </c>
      <c r="C31" s="80">
        <f t="shared" ref="C31:F31" si="13">C32+C33</f>
        <v>35500</v>
      </c>
      <c r="D31" s="80">
        <f t="shared" si="13"/>
        <v>33500</v>
      </c>
      <c r="E31" s="80">
        <f t="shared" si="13"/>
        <v>33800</v>
      </c>
      <c r="F31" s="80">
        <f t="shared" si="13"/>
        <v>33800</v>
      </c>
    </row>
    <row r="32" spans="1:6" ht="25.5" x14ac:dyDescent="0.25">
      <c r="A32" s="17" t="s">
        <v>165</v>
      </c>
      <c r="B32" s="78">
        <f>20+10452.17+655.23</f>
        <v>11127.4</v>
      </c>
      <c r="C32" s="78">
        <v>7500</v>
      </c>
      <c r="D32" s="78">
        <v>5500</v>
      </c>
      <c r="E32" s="78">
        <v>5800</v>
      </c>
      <c r="F32" s="78">
        <v>5800</v>
      </c>
    </row>
    <row r="33" spans="1:6" x14ac:dyDescent="0.25">
      <c r="A33" s="17" t="s">
        <v>168</v>
      </c>
      <c r="B33" s="78">
        <f>31718.57+462.05+3263.94</f>
        <v>35444.559999999998</v>
      </c>
      <c r="C33" s="78">
        <v>28000</v>
      </c>
      <c r="D33" s="78">
        <v>28000</v>
      </c>
      <c r="E33" s="78">
        <v>28000</v>
      </c>
      <c r="F33" s="78">
        <v>28000</v>
      </c>
    </row>
    <row r="34" spans="1:6" x14ac:dyDescent="0.25">
      <c r="A34" s="132" t="s">
        <v>164</v>
      </c>
      <c r="B34" s="80">
        <f>B35+B36</f>
        <v>575176.67999999993</v>
      </c>
      <c r="C34" s="80">
        <f t="shared" ref="C34:F34" si="14">C35+C36</f>
        <v>562950</v>
      </c>
      <c r="D34" s="80">
        <f t="shared" si="14"/>
        <v>814510</v>
      </c>
      <c r="E34" s="80">
        <f t="shared" si="14"/>
        <v>837885</v>
      </c>
      <c r="F34" s="80">
        <f t="shared" si="14"/>
        <v>843885</v>
      </c>
    </row>
    <row r="35" spans="1:6" x14ac:dyDescent="0.25">
      <c r="A35" s="13" t="s">
        <v>169</v>
      </c>
      <c r="B35" s="78">
        <v>243.21</v>
      </c>
      <c r="C35" s="78"/>
      <c r="D35" s="78">
        <f>18000+110</f>
        <v>18110</v>
      </c>
      <c r="E35" s="78">
        <f>19560+440</f>
        <v>20000</v>
      </c>
      <c r="F35" s="78">
        <v>20000</v>
      </c>
    </row>
    <row r="36" spans="1:6" x14ac:dyDescent="0.25">
      <c r="A36" s="13" t="s">
        <v>163</v>
      </c>
      <c r="B36" s="78">
        <f>522421.38+42884.07+3374.96+6253.06</f>
        <v>574933.47</v>
      </c>
      <c r="C36" s="78">
        <v>562950</v>
      </c>
      <c r="D36" s="78">
        <f>744150+43750+5700+2800</f>
        <v>796400</v>
      </c>
      <c r="E36" s="78">
        <f>764125+46760+4200+2800</f>
        <v>817885</v>
      </c>
      <c r="F36" s="78">
        <f>770025+46860+4200+2800</f>
        <v>823885</v>
      </c>
    </row>
  </sheetData>
  <mergeCells count="6">
    <mergeCell ref="A3:F3"/>
    <mergeCell ref="A5:F5"/>
    <mergeCell ref="A7:F7"/>
    <mergeCell ref="A23:F23"/>
    <mergeCell ref="A1:H1"/>
    <mergeCell ref="D2:G2"/>
  </mergeCells>
  <pageMargins left="0.7" right="0.7" top="0.75" bottom="0.75" header="0.3" footer="0.3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F13" sqref="F13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8" ht="42" customHeight="1" x14ac:dyDescent="0.25">
      <c r="A1" s="222" t="s">
        <v>176</v>
      </c>
      <c r="B1" s="222"/>
      <c r="C1" s="222"/>
      <c r="D1" s="222"/>
      <c r="E1" s="222"/>
      <c r="F1" s="222"/>
      <c r="G1" s="222"/>
      <c r="H1" s="222"/>
    </row>
    <row r="2" spans="1:8" ht="18" customHeight="1" x14ac:dyDescent="0.25">
      <c r="A2" s="24"/>
      <c r="B2" s="24"/>
      <c r="C2" s="24"/>
      <c r="D2" s="251" t="s">
        <v>181</v>
      </c>
      <c r="E2" s="252"/>
      <c r="F2" s="252"/>
      <c r="G2" s="252"/>
      <c r="H2" s="24"/>
    </row>
    <row r="3" spans="1:8" ht="15.75" x14ac:dyDescent="0.25">
      <c r="A3" s="222" t="s">
        <v>25</v>
      </c>
      <c r="B3" s="222"/>
      <c r="C3" s="222"/>
      <c r="D3" s="222"/>
      <c r="E3" s="223"/>
      <c r="F3" s="223"/>
    </row>
    <row r="4" spans="1:8" ht="18" x14ac:dyDescent="0.25">
      <c r="A4" s="4"/>
      <c r="B4" s="4"/>
      <c r="C4" s="4"/>
      <c r="D4" s="4"/>
      <c r="E4" s="5"/>
      <c r="F4" s="5"/>
    </row>
    <row r="5" spans="1:8" ht="18" customHeight="1" x14ac:dyDescent="0.25">
      <c r="A5" s="222" t="s">
        <v>8</v>
      </c>
      <c r="B5" s="224"/>
      <c r="C5" s="224"/>
      <c r="D5" s="224"/>
      <c r="E5" s="224"/>
      <c r="F5" s="224"/>
    </row>
    <row r="6" spans="1:8" ht="18" x14ac:dyDescent="0.25">
      <c r="A6" s="4"/>
      <c r="B6" s="4"/>
      <c r="C6" s="4"/>
      <c r="D6" s="4"/>
      <c r="E6" s="5"/>
      <c r="F6" s="5"/>
    </row>
    <row r="7" spans="1:8" ht="15.75" x14ac:dyDescent="0.25">
      <c r="A7" s="222" t="s">
        <v>18</v>
      </c>
      <c r="B7" s="248"/>
      <c r="C7" s="248"/>
      <c r="D7" s="248"/>
      <c r="E7" s="248"/>
      <c r="F7" s="248"/>
    </row>
    <row r="8" spans="1:8" ht="18" x14ac:dyDescent="0.25">
      <c r="A8" s="4"/>
      <c r="B8" s="4"/>
      <c r="C8" s="4"/>
      <c r="D8" s="4"/>
      <c r="E8" s="5"/>
      <c r="F8" s="5"/>
    </row>
    <row r="9" spans="1:8" ht="25.5" x14ac:dyDescent="0.25">
      <c r="A9" s="20" t="s">
        <v>19</v>
      </c>
      <c r="B9" s="19" t="s">
        <v>182</v>
      </c>
      <c r="C9" s="20" t="s">
        <v>178</v>
      </c>
      <c r="D9" s="20" t="s">
        <v>183</v>
      </c>
      <c r="E9" s="20" t="s">
        <v>160</v>
      </c>
      <c r="F9" s="20" t="s">
        <v>184</v>
      </c>
    </row>
    <row r="10" spans="1:8" ht="15.75" customHeight="1" x14ac:dyDescent="0.25">
      <c r="A10" s="11" t="s">
        <v>20</v>
      </c>
      <c r="B10" s="92">
        <f>B11</f>
        <v>625518.73</v>
      </c>
      <c r="C10" s="92">
        <f t="shared" ref="C10:F10" si="0">C11</f>
        <v>601550</v>
      </c>
      <c r="D10" s="92">
        <f t="shared" si="0"/>
        <v>858810</v>
      </c>
      <c r="E10" s="92">
        <f t="shared" si="0"/>
        <v>882785</v>
      </c>
      <c r="F10" s="92">
        <f t="shared" si="0"/>
        <v>888785</v>
      </c>
    </row>
    <row r="11" spans="1:8" ht="15.75" customHeight="1" x14ac:dyDescent="0.25">
      <c r="A11" s="11" t="s">
        <v>102</v>
      </c>
      <c r="B11" s="92">
        <f>SUM(B12,B13,B14)</f>
        <v>625518.73</v>
      </c>
      <c r="C11" s="92">
        <f t="shared" ref="C11" si="1">SUM(C12,C13,C14)</f>
        <v>601550</v>
      </c>
      <c r="D11" s="92">
        <f t="shared" ref="D11:F11" si="2">SUM(D12,D13,D14)</f>
        <v>858810</v>
      </c>
      <c r="E11" s="92">
        <f t="shared" si="2"/>
        <v>882785</v>
      </c>
      <c r="F11" s="92">
        <f t="shared" si="2"/>
        <v>888785</v>
      </c>
    </row>
    <row r="12" spans="1:8" x14ac:dyDescent="0.25">
      <c r="A12" s="17" t="s">
        <v>103</v>
      </c>
      <c r="B12" s="92">
        <f>598555.14-244.46</f>
        <v>598310.68000000005</v>
      </c>
      <c r="C12" s="149">
        <f>601550-C13-C14</f>
        <v>577155</v>
      </c>
      <c r="D12" s="149">
        <f>858810-D13-D14</f>
        <v>836610</v>
      </c>
      <c r="E12" s="149">
        <f>882785-E13-E14</f>
        <v>860585</v>
      </c>
      <c r="F12" s="149">
        <f>888785-F13-F14</f>
        <v>866585</v>
      </c>
    </row>
    <row r="13" spans="1:8" x14ac:dyDescent="0.25">
      <c r="A13" s="18" t="s">
        <v>104</v>
      </c>
      <c r="B13" s="92">
        <f>26963.59</f>
        <v>26963.59</v>
      </c>
      <c r="C13" s="153">
        <v>24200</v>
      </c>
      <c r="D13" s="153">
        <v>22000</v>
      </c>
      <c r="E13" s="153">
        <v>22000</v>
      </c>
      <c r="F13" s="153">
        <v>22000</v>
      </c>
    </row>
    <row r="14" spans="1:8" ht="29.25" customHeight="1" x14ac:dyDescent="0.25">
      <c r="A14" s="18" t="s">
        <v>105</v>
      </c>
      <c r="B14" s="92">
        <v>244.46</v>
      </c>
      <c r="C14" s="149">
        <v>195</v>
      </c>
      <c r="D14" s="149">
        <v>200</v>
      </c>
      <c r="E14" s="149">
        <v>200</v>
      </c>
      <c r="F14" s="151">
        <v>200</v>
      </c>
    </row>
  </sheetData>
  <mergeCells count="5">
    <mergeCell ref="A3:F3"/>
    <mergeCell ref="A5:F5"/>
    <mergeCell ref="A7:F7"/>
    <mergeCell ref="A1:H1"/>
    <mergeCell ref="D2:G2"/>
  </mergeCells>
  <pageMargins left="0.7" right="0.7" top="0.75" bottom="0.75" header="0.3" footer="0.3"/>
  <pageSetup paperSize="9" scale="7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workbookViewId="0">
      <selection sqref="A1:I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5.42578125" bestFit="1" customWidth="1"/>
    <col min="4" max="9" width="25.28515625" customWidth="1"/>
  </cols>
  <sheetData>
    <row r="1" spans="1:9" ht="42" customHeight="1" x14ac:dyDescent="0.25">
      <c r="A1" s="222" t="s">
        <v>39</v>
      </c>
      <c r="B1" s="222"/>
      <c r="C1" s="222"/>
      <c r="D1" s="222"/>
      <c r="E1" s="222"/>
      <c r="F1" s="222"/>
      <c r="G1" s="222"/>
      <c r="H1" s="222"/>
      <c r="I1" s="222"/>
    </row>
    <row r="2" spans="1:9" ht="18" customHeight="1" x14ac:dyDescent="0.25">
      <c r="A2" s="4"/>
      <c r="B2" s="4"/>
      <c r="C2" s="4"/>
      <c r="D2" s="4"/>
      <c r="E2" s="4"/>
      <c r="F2" s="4"/>
      <c r="G2" s="4"/>
      <c r="H2" s="4"/>
      <c r="I2" s="4"/>
    </row>
    <row r="3" spans="1:9" ht="15.75" x14ac:dyDescent="0.25">
      <c r="A3" s="222" t="s">
        <v>25</v>
      </c>
      <c r="B3" s="222"/>
      <c r="C3" s="222"/>
      <c r="D3" s="222"/>
      <c r="E3" s="222"/>
      <c r="F3" s="222"/>
      <c r="G3" s="222"/>
      <c r="H3" s="223"/>
      <c r="I3" s="223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18" customHeight="1" x14ac:dyDescent="0.25">
      <c r="A5" s="222" t="s">
        <v>21</v>
      </c>
      <c r="B5" s="224"/>
      <c r="C5" s="224"/>
      <c r="D5" s="224"/>
      <c r="E5" s="224"/>
      <c r="F5" s="224"/>
      <c r="G5" s="224"/>
      <c r="H5" s="224"/>
      <c r="I5" s="224"/>
    </row>
    <row r="6" spans="1:9" ht="18" x14ac:dyDescent="0.25">
      <c r="A6" s="4"/>
      <c r="B6" s="4"/>
      <c r="C6" s="4"/>
      <c r="D6" s="4"/>
      <c r="E6" s="4"/>
      <c r="F6" s="4"/>
      <c r="G6" s="4"/>
      <c r="H6" s="5"/>
      <c r="I6" s="5"/>
    </row>
    <row r="7" spans="1:9" ht="25.5" x14ac:dyDescent="0.25">
      <c r="A7" s="20" t="s">
        <v>9</v>
      </c>
      <c r="B7" s="19" t="s">
        <v>10</v>
      </c>
      <c r="C7" s="19" t="s">
        <v>11</v>
      </c>
      <c r="D7" s="19" t="s">
        <v>41</v>
      </c>
      <c r="E7" s="19" t="s">
        <v>182</v>
      </c>
      <c r="F7" s="20" t="s">
        <v>178</v>
      </c>
      <c r="G7" s="20" t="s">
        <v>183</v>
      </c>
      <c r="H7" s="20" t="s">
        <v>160</v>
      </c>
      <c r="I7" s="20" t="s">
        <v>184</v>
      </c>
    </row>
    <row r="8" spans="1:9" ht="25.5" x14ac:dyDescent="0.25">
      <c r="A8" s="11">
        <v>8</v>
      </c>
      <c r="B8" s="11"/>
      <c r="C8" s="11"/>
      <c r="D8" s="11" t="s">
        <v>22</v>
      </c>
      <c r="E8" s="8"/>
      <c r="F8" s="9"/>
      <c r="G8" s="9"/>
      <c r="H8" s="9"/>
      <c r="I8" s="9"/>
    </row>
    <row r="9" spans="1:9" x14ac:dyDescent="0.25">
      <c r="A9" s="11"/>
      <c r="B9" s="16">
        <v>84</v>
      </c>
      <c r="C9" s="16"/>
      <c r="D9" s="16" t="s">
        <v>29</v>
      </c>
      <c r="E9" s="8"/>
      <c r="F9" s="9"/>
      <c r="G9" s="9"/>
      <c r="H9" s="9"/>
      <c r="I9" s="9"/>
    </row>
    <row r="10" spans="1:9" ht="25.5" x14ac:dyDescent="0.25">
      <c r="A10" s="12"/>
      <c r="B10" s="12"/>
      <c r="C10" s="13">
        <v>81</v>
      </c>
      <c r="D10" s="17" t="s">
        <v>30</v>
      </c>
      <c r="E10" s="8"/>
      <c r="F10" s="9"/>
      <c r="G10" s="9"/>
      <c r="H10" s="9"/>
      <c r="I10" s="9"/>
    </row>
    <row r="11" spans="1:9" ht="25.5" x14ac:dyDescent="0.25">
      <c r="A11" s="14">
        <v>5</v>
      </c>
      <c r="B11" s="15"/>
      <c r="C11" s="15"/>
      <c r="D11" s="25" t="s">
        <v>23</v>
      </c>
      <c r="E11" s="8"/>
      <c r="F11" s="9"/>
      <c r="G11" s="9"/>
      <c r="H11" s="9"/>
      <c r="I11" s="9"/>
    </row>
    <row r="12" spans="1:9" ht="25.5" x14ac:dyDescent="0.25">
      <c r="A12" s="16"/>
      <c r="B12" s="16">
        <v>54</v>
      </c>
      <c r="C12" s="16"/>
      <c r="D12" s="26" t="s">
        <v>31</v>
      </c>
      <c r="E12" s="8"/>
      <c r="F12" s="9"/>
      <c r="G12" s="9"/>
      <c r="H12" s="9"/>
      <c r="I12" s="10"/>
    </row>
    <row r="13" spans="1:9" x14ac:dyDescent="0.25">
      <c r="A13" s="16"/>
      <c r="B13" s="16"/>
      <c r="C13" s="13">
        <v>11</v>
      </c>
      <c r="D13" s="13" t="s">
        <v>13</v>
      </c>
      <c r="E13" s="8"/>
      <c r="F13" s="9"/>
      <c r="G13" s="9"/>
      <c r="H13" s="9"/>
      <c r="I13" s="10"/>
    </row>
    <row r="14" spans="1:9" x14ac:dyDescent="0.25">
      <c r="A14" s="16"/>
      <c r="B14" s="16"/>
      <c r="C14" s="13">
        <v>31</v>
      </c>
      <c r="D14" s="13" t="s">
        <v>32</v>
      </c>
      <c r="E14" s="8"/>
      <c r="F14" s="9"/>
      <c r="G14" s="9"/>
      <c r="H14" s="9"/>
      <c r="I14" s="10"/>
    </row>
  </sheetData>
  <mergeCells count="3">
    <mergeCell ref="A1:I1"/>
    <mergeCell ref="A3:I3"/>
    <mergeCell ref="A5:I5"/>
  </mergeCells>
  <pageMargins left="0.7" right="0.7" top="0.75" bottom="0.75" header="0.3" footer="0.3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sqref="A1:H2"/>
    </sheetView>
  </sheetViews>
  <sheetFormatPr defaultRowHeight="15" x14ac:dyDescent="0.25"/>
  <cols>
    <col min="1" max="6" width="25.28515625" customWidth="1"/>
  </cols>
  <sheetData>
    <row r="1" spans="1:8" ht="15.75" customHeight="1" x14ac:dyDescent="0.25">
      <c r="A1" s="222" t="s">
        <v>176</v>
      </c>
      <c r="B1" s="222"/>
      <c r="C1" s="222"/>
      <c r="D1" s="222"/>
      <c r="E1" s="222"/>
      <c r="F1" s="222"/>
      <c r="G1" s="222"/>
      <c r="H1" s="222"/>
    </row>
    <row r="2" spans="1:8" ht="18" x14ac:dyDescent="0.25">
      <c r="A2" s="24"/>
      <c r="B2" s="24"/>
      <c r="C2" s="24"/>
      <c r="D2" s="251" t="s">
        <v>181</v>
      </c>
      <c r="E2" s="252"/>
      <c r="F2" s="252"/>
      <c r="G2" s="252"/>
      <c r="H2" s="24"/>
    </row>
    <row r="3" spans="1:8" ht="15.75" x14ac:dyDescent="0.25">
      <c r="A3" s="222" t="s">
        <v>25</v>
      </c>
      <c r="B3" s="222"/>
      <c r="C3" s="222"/>
      <c r="D3" s="222"/>
      <c r="E3" s="222"/>
      <c r="F3" s="222"/>
    </row>
    <row r="4" spans="1:8" ht="18" x14ac:dyDescent="0.25">
      <c r="A4" s="24"/>
      <c r="B4" s="24"/>
      <c r="C4" s="24"/>
      <c r="D4" s="24"/>
      <c r="E4" s="5"/>
      <c r="F4" s="5"/>
    </row>
    <row r="5" spans="1:8" ht="15.75" customHeight="1" x14ac:dyDescent="0.25">
      <c r="A5" s="222" t="s">
        <v>171</v>
      </c>
      <c r="B5" s="222"/>
      <c r="C5" s="222"/>
      <c r="D5" s="222"/>
      <c r="E5" s="222"/>
      <c r="F5" s="222"/>
    </row>
    <row r="6" spans="1:8" ht="18" x14ac:dyDescent="0.25">
      <c r="A6" s="24"/>
      <c r="B6" s="24"/>
      <c r="C6" s="24"/>
      <c r="D6" s="24"/>
      <c r="E6" s="5"/>
      <c r="F6" s="5"/>
    </row>
    <row r="7" spans="1:8" ht="25.5" x14ac:dyDescent="0.25">
      <c r="A7" s="19" t="s">
        <v>161</v>
      </c>
      <c r="B7" s="19" t="s">
        <v>182</v>
      </c>
      <c r="C7" s="20" t="s">
        <v>178</v>
      </c>
      <c r="D7" s="20" t="s">
        <v>183</v>
      </c>
      <c r="E7" s="20" t="s">
        <v>160</v>
      </c>
      <c r="F7" s="20" t="s">
        <v>184</v>
      </c>
    </row>
    <row r="8" spans="1:8" x14ac:dyDescent="0.25">
      <c r="A8" s="11" t="s">
        <v>172</v>
      </c>
      <c r="B8" s="8"/>
      <c r="C8" s="9"/>
      <c r="D8" s="9"/>
      <c r="E8" s="9"/>
      <c r="F8" s="9"/>
    </row>
    <row r="9" spans="1:8" ht="25.5" x14ac:dyDescent="0.25">
      <c r="A9" s="11" t="s">
        <v>173</v>
      </c>
      <c r="B9" s="8"/>
      <c r="C9" s="9"/>
      <c r="D9" s="9"/>
      <c r="E9" s="9"/>
      <c r="F9" s="9"/>
    </row>
    <row r="10" spans="1:8" ht="25.5" x14ac:dyDescent="0.25">
      <c r="A10" s="17" t="s">
        <v>174</v>
      </c>
      <c r="B10" s="8"/>
      <c r="C10" s="9"/>
      <c r="D10" s="9"/>
      <c r="E10" s="9"/>
      <c r="F10" s="9"/>
    </row>
    <row r="11" spans="1:8" x14ac:dyDescent="0.25">
      <c r="A11" s="17"/>
      <c r="B11" s="8"/>
      <c r="C11" s="9"/>
      <c r="D11" s="9"/>
      <c r="E11" s="9"/>
      <c r="F11" s="9"/>
    </row>
    <row r="12" spans="1:8" x14ac:dyDescent="0.25">
      <c r="A12" s="11" t="s">
        <v>175</v>
      </c>
      <c r="B12" s="8"/>
      <c r="C12" s="9"/>
      <c r="D12" s="9"/>
      <c r="E12" s="9"/>
      <c r="F12" s="9"/>
    </row>
    <row r="13" spans="1:8" x14ac:dyDescent="0.25">
      <c r="A13" s="25" t="s">
        <v>159</v>
      </c>
      <c r="B13" s="8"/>
      <c r="C13" s="9"/>
      <c r="D13" s="9"/>
      <c r="E13" s="9"/>
      <c r="F13" s="9"/>
    </row>
    <row r="14" spans="1:8" x14ac:dyDescent="0.25">
      <c r="A14" s="13" t="s">
        <v>158</v>
      </c>
      <c r="B14" s="8"/>
      <c r="C14" s="9"/>
      <c r="D14" s="9"/>
      <c r="E14" s="9"/>
      <c r="F14" s="10"/>
    </row>
    <row r="15" spans="1:8" x14ac:dyDescent="0.25">
      <c r="A15" s="25" t="s">
        <v>157</v>
      </c>
      <c r="B15" s="8"/>
      <c r="C15" s="9"/>
      <c r="D15" s="9"/>
      <c r="E15" s="9"/>
      <c r="F15" s="10"/>
    </row>
    <row r="16" spans="1:8" x14ac:dyDescent="0.25">
      <c r="A16" s="13" t="s">
        <v>156</v>
      </c>
      <c r="B16" s="8"/>
      <c r="C16" s="9"/>
      <c r="D16" s="9"/>
      <c r="E16" s="9"/>
      <c r="F16" s="10"/>
    </row>
  </sheetData>
  <mergeCells count="4">
    <mergeCell ref="A3:F3"/>
    <mergeCell ref="A5:F5"/>
    <mergeCell ref="A1:H1"/>
    <mergeCell ref="D2:G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0"/>
  <sheetViews>
    <sheetView tabSelected="1" zoomScaleNormal="100" workbookViewId="0">
      <selection activeCell="J360" sqref="J360"/>
    </sheetView>
  </sheetViews>
  <sheetFormatPr defaultRowHeight="15" x14ac:dyDescent="0.25"/>
  <cols>
    <col min="1" max="1" width="7.42578125" bestFit="1" customWidth="1"/>
    <col min="2" max="2" width="8.42578125" customWidth="1"/>
    <col min="3" max="3" width="8.7109375" customWidth="1"/>
    <col min="4" max="4" width="30" customWidth="1"/>
    <col min="5" max="9" width="15.42578125" customWidth="1"/>
  </cols>
  <sheetData>
    <row r="1" spans="1:10" ht="42" customHeight="1" x14ac:dyDescent="0.25">
      <c r="A1" s="222" t="s">
        <v>176</v>
      </c>
      <c r="B1" s="222"/>
      <c r="C1" s="222"/>
      <c r="D1" s="222"/>
      <c r="E1" s="222"/>
      <c r="F1" s="222"/>
      <c r="G1" s="222"/>
      <c r="H1" s="222"/>
      <c r="I1" s="222"/>
    </row>
    <row r="2" spans="1:10" ht="18" x14ac:dyDescent="0.25">
      <c r="A2" s="4"/>
      <c r="B2" s="4"/>
      <c r="C2" s="4"/>
      <c r="D2" s="4"/>
      <c r="E2" s="4"/>
      <c r="F2" s="233" t="s">
        <v>181</v>
      </c>
      <c r="G2" s="268"/>
      <c r="H2" s="268"/>
      <c r="I2" s="268"/>
    </row>
    <row r="3" spans="1:10" ht="18" customHeight="1" x14ac:dyDescent="0.25">
      <c r="A3" s="222" t="s">
        <v>24</v>
      </c>
      <c r="B3" s="224"/>
      <c r="C3" s="224"/>
      <c r="D3" s="224"/>
      <c r="E3" s="224"/>
      <c r="F3" s="224"/>
      <c r="G3" s="224"/>
      <c r="H3" s="224"/>
      <c r="I3" s="224"/>
    </row>
    <row r="4" spans="1:10" ht="18" x14ac:dyDescent="0.25">
      <c r="A4" s="4"/>
      <c r="B4" s="4"/>
      <c r="C4" s="4"/>
      <c r="D4" s="4"/>
      <c r="E4" s="4"/>
      <c r="F4" s="143"/>
      <c r="G4" s="4"/>
      <c r="H4" s="5"/>
      <c r="I4" s="5"/>
    </row>
    <row r="5" spans="1:10" ht="25.5" x14ac:dyDescent="0.25">
      <c r="A5" s="256" t="s">
        <v>26</v>
      </c>
      <c r="B5" s="257"/>
      <c r="C5" s="258"/>
      <c r="D5" s="19" t="s">
        <v>27</v>
      </c>
      <c r="E5" s="19" t="s">
        <v>182</v>
      </c>
      <c r="F5" s="20" t="s">
        <v>186</v>
      </c>
      <c r="G5" s="20" t="s">
        <v>183</v>
      </c>
      <c r="H5" s="20" t="s">
        <v>160</v>
      </c>
      <c r="I5" s="20" t="s">
        <v>184</v>
      </c>
    </row>
    <row r="6" spans="1:10" x14ac:dyDescent="0.25">
      <c r="A6" s="259" t="s">
        <v>101</v>
      </c>
      <c r="B6" s="260"/>
      <c r="C6" s="261"/>
      <c r="D6" s="27" t="s">
        <v>33</v>
      </c>
      <c r="E6" s="8"/>
      <c r="F6" s="8"/>
      <c r="G6" s="8"/>
      <c r="H6" s="8"/>
      <c r="I6" s="8"/>
    </row>
    <row r="7" spans="1:10" x14ac:dyDescent="0.25">
      <c r="A7" s="259" t="s">
        <v>190</v>
      </c>
      <c r="B7" s="260"/>
      <c r="C7" s="261"/>
      <c r="D7" s="218" t="s">
        <v>189</v>
      </c>
      <c r="E7" s="8"/>
      <c r="F7" s="8"/>
      <c r="G7" s="8"/>
      <c r="H7" s="8"/>
      <c r="I7" s="8"/>
      <c r="J7" s="219"/>
    </row>
    <row r="8" spans="1:10" x14ac:dyDescent="0.25">
      <c r="A8" s="262">
        <v>11</v>
      </c>
      <c r="B8" s="263"/>
      <c r="C8" s="264"/>
      <c r="D8" s="77" t="s">
        <v>13</v>
      </c>
      <c r="E8" s="8"/>
      <c r="F8" s="8"/>
      <c r="G8" s="8"/>
      <c r="H8" s="8"/>
      <c r="I8" s="8"/>
    </row>
    <row r="9" spans="1:10" x14ac:dyDescent="0.25">
      <c r="A9" s="265">
        <v>3</v>
      </c>
      <c r="B9" s="266"/>
      <c r="C9" s="267"/>
      <c r="D9" s="209" t="s">
        <v>16</v>
      </c>
      <c r="E9" s="210">
        <f t="shared" ref="E9:I9" si="0">SUM(E10+E20)</f>
        <v>0</v>
      </c>
      <c r="F9" s="210">
        <f t="shared" ref="F9" si="1">SUM(F10+F20)</f>
        <v>0</v>
      </c>
      <c r="G9" s="210">
        <f t="shared" si="0"/>
        <v>6499.9960000000001</v>
      </c>
      <c r="H9" s="210">
        <f t="shared" si="0"/>
        <v>0</v>
      </c>
      <c r="I9" s="210">
        <f t="shared" si="0"/>
        <v>0</v>
      </c>
    </row>
    <row r="10" spans="1:10" x14ac:dyDescent="0.25">
      <c r="A10" s="253">
        <v>31</v>
      </c>
      <c r="B10" s="254"/>
      <c r="C10" s="255"/>
      <c r="D10" s="47" t="s">
        <v>17</v>
      </c>
      <c r="E10" s="79">
        <f t="shared" ref="E10:I10" si="2">SUM(E11+E15+E17)</f>
        <v>0</v>
      </c>
      <c r="F10" s="79">
        <f t="shared" ref="F10" si="3">SUM(F11+F15+F17)</f>
        <v>0</v>
      </c>
      <c r="G10" s="79">
        <f t="shared" si="2"/>
        <v>6214.9960000000001</v>
      </c>
      <c r="H10" s="79">
        <f t="shared" si="2"/>
        <v>0</v>
      </c>
      <c r="I10" s="79">
        <f t="shared" si="2"/>
        <v>0</v>
      </c>
    </row>
    <row r="11" spans="1:10" x14ac:dyDescent="0.25">
      <c r="A11" s="42">
        <v>311</v>
      </c>
      <c r="B11" s="43"/>
      <c r="C11" s="44"/>
      <c r="D11" s="45" t="s">
        <v>42</v>
      </c>
      <c r="E11" s="80">
        <f t="shared" ref="E11:I11" si="4">SUM(E12:E14)</f>
        <v>0</v>
      </c>
      <c r="F11" s="80">
        <f t="shared" ref="F11" si="5">SUM(F12:F14)</f>
        <v>0</v>
      </c>
      <c r="G11" s="80">
        <f t="shared" si="4"/>
        <v>4914.16</v>
      </c>
      <c r="H11" s="80">
        <f t="shared" si="4"/>
        <v>0</v>
      </c>
      <c r="I11" s="80">
        <f t="shared" si="4"/>
        <v>0</v>
      </c>
    </row>
    <row r="12" spans="1:10" x14ac:dyDescent="0.25">
      <c r="A12" s="39">
        <v>3111</v>
      </c>
      <c r="B12" s="40"/>
      <c r="C12" s="41"/>
      <c r="D12" s="38" t="s">
        <v>54</v>
      </c>
      <c r="E12" s="78"/>
      <c r="F12" s="78"/>
      <c r="G12" s="78">
        <v>4914.16</v>
      </c>
      <c r="H12" s="78"/>
      <c r="I12" s="78"/>
    </row>
    <row r="13" spans="1:10" x14ac:dyDescent="0.25">
      <c r="A13" s="39">
        <v>3113</v>
      </c>
      <c r="B13" s="40"/>
      <c r="C13" s="41"/>
      <c r="D13" s="38" t="s">
        <v>55</v>
      </c>
      <c r="E13" s="78"/>
      <c r="F13" s="78"/>
      <c r="G13" s="78"/>
      <c r="H13" s="78"/>
      <c r="I13" s="78"/>
    </row>
    <row r="14" spans="1:10" x14ac:dyDescent="0.25">
      <c r="A14" s="39">
        <v>3114</v>
      </c>
      <c r="B14" s="40"/>
      <c r="C14" s="41"/>
      <c r="D14" s="38" t="s">
        <v>56</v>
      </c>
      <c r="E14" s="78"/>
      <c r="F14" s="78"/>
      <c r="G14" s="78"/>
      <c r="H14" s="78"/>
      <c r="I14" s="78"/>
    </row>
    <row r="15" spans="1:10" x14ac:dyDescent="0.25">
      <c r="A15" s="42">
        <v>312</v>
      </c>
      <c r="B15" s="43"/>
      <c r="C15" s="44"/>
      <c r="D15" s="45" t="s">
        <v>57</v>
      </c>
      <c r="E15" s="80">
        <f t="shared" ref="E15:I15" si="6">SUM(E16)</f>
        <v>0</v>
      </c>
      <c r="F15" s="80">
        <f t="shared" si="6"/>
        <v>0</v>
      </c>
      <c r="G15" s="80">
        <f t="shared" si="6"/>
        <v>490</v>
      </c>
      <c r="H15" s="80">
        <f t="shared" si="6"/>
        <v>0</v>
      </c>
      <c r="I15" s="80">
        <f t="shared" si="6"/>
        <v>0</v>
      </c>
    </row>
    <row r="16" spans="1:10" x14ac:dyDescent="0.25">
      <c r="A16" s="39">
        <v>3121</v>
      </c>
      <c r="B16" s="40"/>
      <c r="C16" s="41"/>
      <c r="D16" s="38" t="s">
        <v>58</v>
      </c>
      <c r="E16" s="78"/>
      <c r="F16" s="78"/>
      <c r="G16" s="78">
        <v>490</v>
      </c>
      <c r="H16" s="78"/>
      <c r="I16" s="78"/>
    </row>
    <row r="17" spans="1:10" x14ac:dyDescent="0.25">
      <c r="A17" s="42">
        <v>313</v>
      </c>
      <c r="B17" s="43"/>
      <c r="C17" s="44"/>
      <c r="D17" s="45" t="s">
        <v>43</v>
      </c>
      <c r="E17" s="80">
        <f t="shared" ref="E17:I17" si="7">SUM(E18:E19)</f>
        <v>0</v>
      </c>
      <c r="F17" s="80">
        <f t="shared" ref="F17" si="8">SUM(F18:F19)</f>
        <v>0</v>
      </c>
      <c r="G17" s="80">
        <f t="shared" si="7"/>
        <v>810.83600000000001</v>
      </c>
      <c r="H17" s="80">
        <f>SUM(H18:H19)</f>
        <v>0</v>
      </c>
      <c r="I17" s="80">
        <f t="shared" si="7"/>
        <v>0</v>
      </c>
    </row>
    <row r="18" spans="1:10" x14ac:dyDescent="0.25">
      <c r="A18" s="39">
        <v>3131</v>
      </c>
      <c r="B18" s="40"/>
      <c r="C18" s="41"/>
      <c r="D18" s="38" t="s">
        <v>59</v>
      </c>
      <c r="E18" s="78"/>
      <c r="F18" s="78"/>
      <c r="G18" s="78"/>
      <c r="H18" s="78"/>
      <c r="I18" s="78"/>
    </row>
    <row r="19" spans="1:10" ht="25.5" x14ac:dyDescent="0.25">
      <c r="A19" s="39">
        <v>3132</v>
      </c>
      <c r="B19" s="40"/>
      <c r="C19" s="41"/>
      <c r="D19" s="38" t="s">
        <v>60</v>
      </c>
      <c r="E19" s="78"/>
      <c r="F19" s="78"/>
      <c r="G19" s="78">
        <v>810.83600000000001</v>
      </c>
      <c r="H19" s="78"/>
      <c r="I19" s="78"/>
    </row>
    <row r="20" spans="1:10" x14ac:dyDescent="0.25">
      <c r="A20" s="253">
        <v>32</v>
      </c>
      <c r="B20" s="254"/>
      <c r="C20" s="255"/>
      <c r="D20" s="47" t="s">
        <v>28</v>
      </c>
      <c r="E20" s="48">
        <f t="shared" ref="E20:I20" si="9">SUM(E21)</f>
        <v>0</v>
      </c>
      <c r="F20" s="48">
        <f t="shared" si="9"/>
        <v>0</v>
      </c>
      <c r="G20" s="48">
        <f t="shared" si="9"/>
        <v>285</v>
      </c>
      <c r="H20" s="48">
        <f t="shared" si="9"/>
        <v>0</v>
      </c>
      <c r="I20" s="48">
        <f t="shared" si="9"/>
        <v>0</v>
      </c>
    </row>
    <row r="21" spans="1:10" x14ac:dyDescent="0.25">
      <c r="A21" s="42">
        <v>321</v>
      </c>
      <c r="B21" s="43"/>
      <c r="C21" s="44"/>
      <c r="D21" s="45" t="s">
        <v>44</v>
      </c>
      <c r="E21" s="46">
        <f t="shared" ref="E21:I21" si="10">SUM(E22:E25)</f>
        <v>0</v>
      </c>
      <c r="F21" s="46">
        <f t="shared" ref="F21" si="11">SUM(F22:F25)</f>
        <v>0</v>
      </c>
      <c r="G21" s="46">
        <f t="shared" si="10"/>
        <v>285</v>
      </c>
      <c r="H21" s="46">
        <f t="shared" si="10"/>
        <v>0</v>
      </c>
      <c r="I21" s="46">
        <f t="shared" si="10"/>
        <v>0</v>
      </c>
    </row>
    <row r="22" spans="1:10" x14ac:dyDescent="0.25">
      <c r="A22" s="39">
        <v>3211</v>
      </c>
      <c r="B22" s="40"/>
      <c r="C22" s="41"/>
      <c r="D22" s="38" t="s">
        <v>61</v>
      </c>
      <c r="E22" s="8"/>
      <c r="F22" s="8"/>
      <c r="G22" s="8"/>
      <c r="H22" s="8"/>
      <c r="I22" s="8"/>
    </row>
    <row r="23" spans="1:10" ht="25.5" x14ac:dyDescent="0.25">
      <c r="A23" s="39">
        <v>3212</v>
      </c>
      <c r="B23" s="40"/>
      <c r="C23" s="41"/>
      <c r="D23" s="38" t="s">
        <v>130</v>
      </c>
      <c r="E23" s="8"/>
      <c r="F23" s="8"/>
      <c r="G23" s="8">
        <v>285</v>
      </c>
      <c r="H23" s="8"/>
      <c r="I23" s="8"/>
    </row>
    <row r="24" spans="1:10" x14ac:dyDescent="0.25">
      <c r="A24" s="39">
        <v>3213</v>
      </c>
      <c r="B24" s="40"/>
      <c r="C24" s="41"/>
      <c r="D24" s="38" t="s">
        <v>63</v>
      </c>
      <c r="E24" s="8"/>
      <c r="F24" s="8"/>
      <c r="G24" s="8"/>
      <c r="H24" s="8"/>
      <c r="I24" s="8"/>
    </row>
    <row r="25" spans="1:10" ht="25.5" x14ac:dyDescent="0.25">
      <c r="A25" s="39">
        <v>3214</v>
      </c>
      <c r="B25" s="40"/>
      <c r="C25" s="41"/>
      <c r="D25" s="38" t="s">
        <v>64</v>
      </c>
      <c r="E25" s="8"/>
      <c r="F25" s="8"/>
      <c r="G25" s="8"/>
      <c r="H25" s="8"/>
      <c r="I25" s="8"/>
    </row>
    <row r="26" spans="1:10" x14ac:dyDescent="0.25">
      <c r="A26" s="39"/>
      <c r="B26" s="40"/>
      <c r="C26" s="41"/>
      <c r="D26" s="206" t="s">
        <v>100</v>
      </c>
      <c r="E26" s="208">
        <f t="shared" ref="E26:I26" si="12">SUM(E9)</f>
        <v>0</v>
      </c>
      <c r="F26" s="208">
        <f t="shared" ref="F26" si="13">SUM(F9)</f>
        <v>0</v>
      </c>
      <c r="G26" s="208">
        <f t="shared" si="12"/>
        <v>6499.9960000000001</v>
      </c>
      <c r="H26" s="208">
        <f t="shared" si="12"/>
        <v>0</v>
      </c>
      <c r="I26" s="208">
        <f t="shared" si="12"/>
        <v>0</v>
      </c>
    </row>
    <row r="27" spans="1:10" x14ac:dyDescent="0.25">
      <c r="A27" s="50"/>
      <c r="B27" s="51"/>
      <c r="C27" s="52"/>
      <c r="D27" s="49"/>
      <c r="E27" s="8"/>
      <c r="F27" s="8"/>
      <c r="G27" s="8"/>
      <c r="H27" s="8"/>
      <c r="I27" s="8"/>
    </row>
    <row r="28" spans="1:10" ht="25.5" x14ac:dyDescent="0.25">
      <c r="A28" s="256" t="s">
        <v>26</v>
      </c>
      <c r="B28" s="257"/>
      <c r="C28" s="258"/>
      <c r="D28" s="19" t="s">
        <v>27</v>
      </c>
      <c r="E28" s="19" t="s">
        <v>182</v>
      </c>
      <c r="F28" s="20" t="s">
        <v>186</v>
      </c>
      <c r="G28" s="20" t="s">
        <v>183</v>
      </c>
      <c r="H28" s="20" t="s">
        <v>160</v>
      </c>
      <c r="I28" s="20" t="s">
        <v>184</v>
      </c>
    </row>
    <row r="29" spans="1:10" x14ac:dyDescent="0.25">
      <c r="A29" s="259" t="s">
        <v>101</v>
      </c>
      <c r="B29" s="260"/>
      <c r="C29" s="261"/>
      <c r="D29" s="215" t="s">
        <v>33</v>
      </c>
      <c r="E29" s="8"/>
      <c r="F29" s="8"/>
      <c r="G29" s="8"/>
      <c r="H29" s="8"/>
      <c r="I29" s="8"/>
    </row>
    <row r="30" spans="1:10" ht="25.5" x14ac:dyDescent="0.25">
      <c r="A30" s="259" t="s">
        <v>188</v>
      </c>
      <c r="B30" s="260"/>
      <c r="C30" s="261"/>
      <c r="D30" s="215" t="s">
        <v>187</v>
      </c>
      <c r="E30" s="8"/>
      <c r="F30" s="8"/>
      <c r="G30" s="8"/>
      <c r="H30" s="8"/>
      <c r="I30" s="8"/>
      <c r="J30" s="219"/>
    </row>
    <row r="31" spans="1:10" x14ac:dyDescent="0.25">
      <c r="A31" s="262">
        <v>11</v>
      </c>
      <c r="B31" s="263"/>
      <c r="C31" s="264"/>
      <c r="D31" s="216" t="s">
        <v>13</v>
      </c>
      <c r="E31" s="8"/>
      <c r="F31" s="8"/>
      <c r="G31" s="8"/>
      <c r="H31" s="8"/>
      <c r="I31" s="8"/>
      <c r="J31" s="219"/>
    </row>
    <row r="32" spans="1:10" x14ac:dyDescent="0.25">
      <c r="A32" s="265">
        <v>3</v>
      </c>
      <c r="B32" s="266"/>
      <c r="C32" s="267"/>
      <c r="D32" s="217" t="s">
        <v>16</v>
      </c>
      <c r="E32" s="210">
        <f t="shared" ref="E32:I32" si="14">SUM(E33+E43)</f>
        <v>0</v>
      </c>
      <c r="F32" s="210">
        <f t="shared" si="14"/>
        <v>0</v>
      </c>
      <c r="G32" s="210">
        <f t="shared" si="14"/>
        <v>1999.9950000000001</v>
      </c>
      <c r="H32" s="210">
        <f t="shared" si="14"/>
        <v>8999.9959999999992</v>
      </c>
      <c r="I32" s="210">
        <f t="shared" si="14"/>
        <v>8999.9959999999992</v>
      </c>
      <c r="J32" s="219"/>
    </row>
    <row r="33" spans="1:10" x14ac:dyDescent="0.25">
      <c r="A33" s="253">
        <v>31</v>
      </c>
      <c r="B33" s="254"/>
      <c r="C33" s="255"/>
      <c r="D33" s="47" t="s">
        <v>17</v>
      </c>
      <c r="E33" s="79">
        <f t="shared" ref="E33:I33" si="15">SUM(E34+E38+E40)</f>
        <v>0</v>
      </c>
      <c r="F33" s="79">
        <f t="shared" si="15"/>
        <v>0</v>
      </c>
      <c r="G33" s="79">
        <f t="shared" si="15"/>
        <v>1984.9950000000001</v>
      </c>
      <c r="H33" s="79">
        <f t="shared" si="15"/>
        <v>8899.9959999999992</v>
      </c>
      <c r="I33" s="79">
        <f t="shared" si="15"/>
        <v>8899.9959999999992</v>
      </c>
      <c r="J33" s="219"/>
    </row>
    <row r="34" spans="1:10" x14ac:dyDescent="0.25">
      <c r="A34" s="42">
        <v>311</v>
      </c>
      <c r="B34" s="43"/>
      <c r="C34" s="44"/>
      <c r="D34" s="45" t="s">
        <v>42</v>
      </c>
      <c r="E34" s="80">
        <f t="shared" ref="E34" si="16">SUM(E35:E37)</f>
        <v>0</v>
      </c>
      <c r="F34" s="80">
        <f t="shared" ref="F34" si="17">SUM(F35:F37)</f>
        <v>0</v>
      </c>
      <c r="G34" s="80">
        <f t="shared" ref="G34:I34" si="18">SUM(G35:G37)</f>
        <v>1618.0250000000001</v>
      </c>
      <c r="H34" s="80">
        <f t="shared" si="18"/>
        <v>7038.6260000000002</v>
      </c>
      <c r="I34" s="80">
        <f t="shared" si="18"/>
        <v>7038.6260000000002</v>
      </c>
    </row>
    <row r="35" spans="1:10" x14ac:dyDescent="0.25">
      <c r="A35" s="82">
        <v>3111</v>
      </c>
      <c r="B35" s="83"/>
      <c r="C35" s="84"/>
      <c r="D35" s="81" t="s">
        <v>54</v>
      </c>
      <c r="E35" s="78"/>
      <c r="F35" s="78"/>
      <c r="G35" s="78">
        <v>1618.0250000000001</v>
      </c>
      <c r="H35" s="78">
        <v>7038.6260000000002</v>
      </c>
      <c r="I35" s="78">
        <v>7038.6260000000002</v>
      </c>
    </row>
    <row r="36" spans="1:10" x14ac:dyDescent="0.25">
      <c r="A36" s="82">
        <v>3113</v>
      </c>
      <c r="B36" s="83"/>
      <c r="C36" s="84"/>
      <c r="D36" s="81" t="s">
        <v>55</v>
      </c>
      <c r="E36" s="78"/>
      <c r="F36" s="78"/>
      <c r="G36" s="78"/>
      <c r="H36" s="78"/>
      <c r="I36" s="78"/>
    </row>
    <row r="37" spans="1:10" x14ac:dyDescent="0.25">
      <c r="A37" s="82">
        <v>3114</v>
      </c>
      <c r="B37" s="83"/>
      <c r="C37" s="84"/>
      <c r="D37" s="81" t="s">
        <v>56</v>
      </c>
      <c r="E37" s="78"/>
      <c r="F37" s="78"/>
      <c r="G37" s="78"/>
      <c r="H37" s="78"/>
      <c r="I37" s="78"/>
    </row>
    <row r="38" spans="1:10" x14ac:dyDescent="0.25">
      <c r="A38" s="42">
        <v>312</v>
      </c>
      <c r="B38" s="43"/>
      <c r="C38" s="44"/>
      <c r="D38" s="45" t="s">
        <v>57</v>
      </c>
      <c r="E38" s="80">
        <f t="shared" ref="E38:I38" si="19">SUM(E39)</f>
        <v>0</v>
      </c>
      <c r="F38" s="80">
        <f t="shared" si="19"/>
        <v>0</v>
      </c>
      <c r="G38" s="80">
        <f t="shared" si="19"/>
        <v>100</v>
      </c>
      <c r="H38" s="80">
        <f t="shared" si="19"/>
        <v>700</v>
      </c>
      <c r="I38" s="80">
        <f t="shared" si="19"/>
        <v>700</v>
      </c>
    </row>
    <row r="39" spans="1:10" x14ac:dyDescent="0.25">
      <c r="A39" s="82">
        <v>3121</v>
      </c>
      <c r="B39" s="83"/>
      <c r="C39" s="84"/>
      <c r="D39" s="81" t="s">
        <v>58</v>
      </c>
      <c r="E39" s="78"/>
      <c r="F39" s="78"/>
      <c r="G39" s="78">
        <v>100</v>
      </c>
      <c r="H39" s="78">
        <v>700</v>
      </c>
      <c r="I39" s="78">
        <v>700</v>
      </c>
    </row>
    <row r="40" spans="1:10" x14ac:dyDescent="0.25">
      <c r="A40" s="42">
        <v>313</v>
      </c>
      <c r="B40" s="43"/>
      <c r="C40" s="44"/>
      <c r="D40" s="45" t="s">
        <v>43</v>
      </c>
      <c r="E40" s="80">
        <f t="shared" ref="E40:G40" si="20">SUM(E41:E42)</f>
        <v>0</v>
      </c>
      <c r="F40" s="80">
        <f t="shared" si="20"/>
        <v>0</v>
      </c>
      <c r="G40" s="80">
        <f t="shared" si="20"/>
        <v>266.97000000000003</v>
      </c>
      <c r="H40" s="80">
        <f>SUM(H41:H42)</f>
        <v>1161.3699999999999</v>
      </c>
      <c r="I40" s="80">
        <f t="shared" ref="I40" si="21">SUM(I41:I42)</f>
        <v>1161.3699999999999</v>
      </c>
    </row>
    <row r="41" spans="1:10" x14ac:dyDescent="0.25">
      <c r="A41" s="82">
        <v>3131</v>
      </c>
      <c r="B41" s="83"/>
      <c r="C41" s="84"/>
      <c r="D41" s="81" t="s">
        <v>59</v>
      </c>
      <c r="E41" s="78"/>
      <c r="F41" s="78"/>
      <c r="G41" s="78"/>
      <c r="H41" s="78"/>
      <c r="I41" s="78"/>
    </row>
    <row r="42" spans="1:10" ht="25.5" x14ac:dyDescent="0.25">
      <c r="A42" s="82">
        <v>3132</v>
      </c>
      <c r="B42" s="83"/>
      <c r="C42" s="84"/>
      <c r="D42" s="81" t="s">
        <v>60</v>
      </c>
      <c r="E42" s="78"/>
      <c r="F42" s="78"/>
      <c r="G42" s="78">
        <v>266.97000000000003</v>
      </c>
      <c r="H42" s="78">
        <v>1161.3699999999999</v>
      </c>
      <c r="I42" s="78">
        <v>1161.3699999999999</v>
      </c>
    </row>
    <row r="43" spans="1:10" x14ac:dyDescent="0.25">
      <c r="A43" s="253">
        <v>32</v>
      </c>
      <c r="B43" s="254"/>
      <c r="C43" s="255"/>
      <c r="D43" s="47" t="s">
        <v>28</v>
      </c>
      <c r="E43" s="48">
        <f t="shared" ref="E43:I43" si="22">SUM(E44)</f>
        <v>0</v>
      </c>
      <c r="F43" s="48">
        <f t="shared" si="22"/>
        <v>0</v>
      </c>
      <c r="G43" s="48">
        <f t="shared" si="22"/>
        <v>15</v>
      </c>
      <c r="H43" s="48">
        <f t="shared" si="22"/>
        <v>100</v>
      </c>
      <c r="I43" s="48">
        <f t="shared" si="22"/>
        <v>100</v>
      </c>
    </row>
    <row r="44" spans="1:10" x14ac:dyDescent="0.25">
      <c r="A44" s="42">
        <v>321</v>
      </c>
      <c r="B44" s="43"/>
      <c r="C44" s="44"/>
      <c r="D44" s="45" t="s">
        <v>44</v>
      </c>
      <c r="E44" s="46">
        <f t="shared" ref="E44:I44" si="23">SUM(E45:E48)</f>
        <v>0</v>
      </c>
      <c r="F44" s="46">
        <f t="shared" si="23"/>
        <v>0</v>
      </c>
      <c r="G44" s="46">
        <f t="shared" si="23"/>
        <v>15</v>
      </c>
      <c r="H44" s="46">
        <f t="shared" si="23"/>
        <v>100</v>
      </c>
      <c r="I44" s="46">
        <f t="shared" si="23"/>
        <v>100</v>
      </c>
    </row>
    <row r="45" spans="1:10" x14ac:dyDescent="0.25">
      <c r="A45" s="82">
        <v>3211</v>
      </c>
      <c r="B45" s="83"/>
      <c r="C45" s="84"/>
      <c r="D45" s="81" t="s">
        <v>61</v>
      </c>
      <c r="E45" s="8"/>
      <c r="F45" s="8"/>
      <c r="G45" s="8"/>
      <c r="H45" s="8"/>
      <c r="I45" s="8"/>
    </row>
    <row r="46" spans="1:10" ht="25.5" x14ac:dyDescent="0.25">
      <c r="A46" s="82">
        <v>3212</v>
      </c>
      <c r="B46" s="83"/>
      <c r="C46" s="84"/>
      <c r="D46" s="81" t="s">
        <v>130</v>
      </c>
      <c r="E46" s="8"/>
      <c r="F46" s="8"/>
      <c r="G46" s="8">
        <v>15</v>
      </c>
      <c r="H46" s="8">
        <v>100</v>
      </c>
      <c r="I46" s="8">
        <v>100</v>
      </c>
    </row>
    <row r="47" spans="1:10" x14ac:dyDescent="0.25">
      <c r="A47" s="82">
        <v>3213</v>
      </c>
      <c r="B47" s="83"/>
      <c r="C47" s="84"/>
      <c r="D47" s="81" t="s">
        <v>63</v>
      </c>
      <c r="E47" s="8"/>
      <c r="F47" s="8"/>
      <c r="G47" s="8"/>
      <c r="H47" s="8"/>
      <c r="I47" s="8"/>
    </row>
    <row r="48" spans="1:10" ht="25.5" x14ac:dyDescent="0.25">
      <c r="A48" s="82">
        <v>3214</v>
      </c>
      <c r="B48" s="83"/>
      <c r="C48" s="84"/>
      <c r="D48" s="81" t="s">
        <v>64</v>
      </c>
      <c r="E48" s="8"/>
      <c r="F48" s="8"/>
      <c r="G48" s="8"/>
      <c r="H48" s="8"/>
      <c r="I48" s="8"/>
    </row>
    <row r="49" spans="1:9" x14ac:dyDescent="0.25">
      <c r="A49" s="82"/>
      <c r="B49" s="83"/>
      <c r="C49" s="84"/>
      <c r="D49" s="206" t="s">
        <v>100</v>
      </c>
      <c r="E49" s="208">
        <f t="shared" ref="E49:I49" si="24">SUM(E32)</f>
        <v>0</v>
      </c>
      <c r="F49" s="208">
        <f t="shared" si="24"/>
        <v>0</v>
      </c>
      <c r="G49" s="208">
        <f t="shared" si="24"/>
        <v>1999.9950000000001</v>
      </c>
      <c r="H49" s="208">
        <f t="shared" si="24"/>
        <v>8999.9959999999992</v>
      </c>
      <c r="I49" s="208">
        <f t="shared" si="24"/>
        <v>8999.9959999999992</v>
      </c>
    </row>
    <row r="50" spans="1:9" x14ac:dyDescent="0.25">
      <c r="A50" s="82"/>
      <c r="B50" s="83"/>
      <c r="C50" s="84"/>
      <c r="D50" s="81"/>
      <c r="E50" s="8"/>
      <c r="F50" s="8"/>
      <c r="G50" s="8"/>
      <c r="H50" s="8"/>
      <c r="I50" s="8"/>
    </row>
    <row r="51" spans="1:9" ht="25.5" x14ac:dyDescent="0.25">
      <c r="A51" s="256" t="s">
        <v>26</v>
      </c>
      <c r="B51" s="257"/>
      <c r="C51" s="258"/>
      <c r="D51" s="19" t="s">
        <v>27</v>
      </c>
      <c r="E51" s="19" t="s">
        <v>182</v>
      </c>
      <c r="F51" s="20" t="s">
        <v>186</v>
      </c>
      <c r="G51" s="20" t="s">
        <v>183</v>
      </c>
      <c r="H51" s="20" t="s">
        <v>160</v>
      </c>
      <c r="I51" s="20" t="s">
        <v>184</v>
      </c>
    </row>
    <row r="52" spans="1:9" ht="15" customHeight="1" x14ac:dyDescent="0.25">
      <c r="A52" s="259" t="s">
        <v>101</v>
      </c>
      <c r="B52" s="260"/>
      <c r="C52" s="261"/>
      <c r="D52" s="85" t="s">
        <v>33</v>
      </c>
      <c r="E52" s="8"/>
      <c r="F52" s="8"/>
      <c r="G52" s="8"/>
      <c r="H52" s="8"/>
      <c r="I52" s="8"/>
    </row>
    <row r="53" spans="1:9" ht="14.25" customHeight="1" x14ac:dyDescent="0.25">
      <c r="A53" s="259" t="s">
        <v>131</v>
      </c>
      <c r="B53" s="260"/>
      <c r="C53" s="261"/>
      <c r="D53" s="85" t="s">
        <v>136</v>
      </c>
      <c r="E53" s="8"/>
      <c r="F53" s="8"/>
      <c r="G53" s="8"/>
      <c r="H53" s="8"/>
      <c r="I53" s="8"/>
    </row>
    <row r="54" spans="1:9" ht="15" customHeight="1" x14ac:dyDescent="0.25">
      <c r="A54" s="262">
        <v>31</v>
      </c>
      <c r="B54" s="263"/>
      <c r="C54" s="264"/>
      <c r="D54" s="86" t="s">
        <v>132</v>
      </c>
      <c r="E54" s="8"/>
      <c r="F54" s="8"/>
      <c r="G54" s="8"/>
      <c r="H54" s="8"/>
      <c r="I54" s="8"/>
    </row>
    <row r="55" spans="1:9" x14ac:dyDescent="0.25">
      <c r="A55" s="265">
        <v>3</v>
      </c>
      <c r="B55" s="266"/>
      <c r="C55" s="267"/>
      <c r="D55" s="209" t="s">
        <v>16</v>
      </c>
      <c r="E55" s="211">
        <f>SUM(E56)</f>
        <v>2099.27</v>
      </c>
      <c r="F55" s="211">
        <f t="shared" ref="F55:I55" si="25">SUM(F56)</f>
        <v>3100</v>
      </c>
      <c r="G55" s="211">
        <f t="shared" si="25"/>
        <v>2000</v>
      </c>
      <c r="H55" s="211">
        <f t="shared" si="25"/>
        <v>2100</v>
      </c>
      <c r="I55" s="211">
        <f t="shared" si="25"/>
        <v>2100</v>
      </c>
    </row>
    <row r="56" spans="1:9" x14ac:dyDescent="0.25">
      <c r="A56" s="253">
        <v>32</v>
      </c>
      <c r="B56" s="254"/>
      <c r="C56" s="255"/>
      <c r="D56" s="47" t="s">
        <v>28</v>
      </c>
      <c r="E56" s="90">
        <f>SUM(E57+E62+E70)+E80</f>
        <v>2099.27</v>
      </c>
      <c r="F56" s="90">
        <f>SUM(F57+F62+F70+F80)</f>
        <v>3100</v>
      </c>
      <c r="G56" s="90">
        <f>SUM(G57+G62+G70+G80)</f>
        <v>2000</v>
      </c>
      <c r="H56" s="90">
        <f t="shared" ref="H56:I56" si="26">SUM(H57+H62+H70+H80)</f>
        <v>2100</v>
      </c>
      <c r="I56" s="90">
        <f t="shared" si="26"/>
        <v>2100</v>
      </c>
    </row>
    <row r="57" spans="1:9" x14ac:dyDescent="0.25">
      <c r="A57" s="42">
        <v>321</v>
      </c>
      <c r="B57" s="43"/>
      <c r="C57" s="44"/>
      <c r="D57" s="45" t="s">
        <v>44</v>
      </c>
      <c r="E57" s="91">
        <f t="shared" ref="E57:I57" si="27">SUM(E58:E61)</f>
        <v>0</v>
      </c>
      <c r="F57" s="91">
        <f t="shared" ref="F57" si="28">SUM(F58:F61)</f>
        <v>530</v>
      </c>
      <c r="G57" s="91">
        <f t="shared" si="27"/>
        <v>0</v>
      </c>
      <c r="H57" s="91">
        <f t="shared" si="27"/>
        <v>0</v>
      </c>
      <c r="I57" s="91">
        <f t="shared" si="27"/>
        <v>0</v>
      </c>
    </row>
    <row r="58" spans="1:9" x14ac:dyDescent="0.25">
      <c r="A58" s="39">
        <v>3211</v>
      </c>
      <c r="B58" s="40"/>
      <c r="C58" s="41"/>
      <c r="D58" s="38" t="s">
        <v>61</v>
      </c>
      <c r="E58" s="92"/>
      <c r="F58" s="92">
        <v>530</v>
      </c>
      <c r="G58" s="92"/>
      <c r="H58" s="92"/>
      <c r="I58" s="92"/>
    </row>
    <row r="59" spans="1:9" ht="25.5" x14ac:dyDescent="0.25">
      <c r="A59" s="39">
        <v>3212</v>
      </c>
      <c r="B59" s="40"/>
      <c r="C59" s="41"/>
      <c r="D59" s="38" t="s">
        <v>130</v>
      </c>
      <c r="E59" s="92"/>
      <c r="F59" s="92"/>
      <c r="G59" s="92"/>
      <c r="H59" s="92"/>
      <c r="I59" s="92"/>
    </row>
    <row r="60" spans="1:9" x14ac:dyDescent="0.25">
      <c r="A60" s="39">
        <v>3213</v>
      </c>
      <c r="B60" s="40"/>
      <c r="C60" s="41"/>
      <c r="D60" s="38" t="s">
        <v>63</v>
      </c>
      <c r="E60" s="92"/>
      <c r="F60" s="92"/>
      <c r="G60" s="92"/>
      <c r="H60" s="92"/>
      <c r="I60" s="92"/>
    </row>
    <row r="61" spans="1:9" ht="25.5" x14ac:dyDescent="0.25">
      <c r="A61" s="39">
        <v>3214</v>
      </c>
      <c r="B61" s="40"/>
      <c r="C61" s="41"/>
      <c r="D61" s="38" t="s">
        <v>64</v>
      </c>
      <c r="E61" s="92"/>
      <c r="F61" s="92"/>
      <c r="G61" s="92"/>
      <c r="H61" s="92"/>
      <c r="I61" s="92"/>
    </row>
    <row r="62" spans="1:9" x14ac:dyDescent="0.25">
      <c r="A62" s="42">
        <v>322</v>
      </c>
      <c r="B62" s="43"/>
      <c r="C62" s="44"/>
      <c r="D62" s="45" t="s">
        <v>45</v>
      </c>
      <c r="E62" s="91">
        <f t="shared" ref="E62:I62" si="29">SUM(E63:E69)</f>
        <v>932.33</v>
      </c>
      <c r="F62" s="91">
        <f t="shared" ref="F62" si="30">SUM(F63:F69)</f>
        <v>670</v>
      </c>
      <c r="G62" s="91">
        <f t="shared" si="29"/>
        <v>0</v>
      </c>
      <c r="H62" s="91">
        <f t="shared" si="29"/>
        <v>0</v>
      </c>
      <c r="I62" s="91">
        <f t="shared" si="29"/>
        <v>0</v>
      </c>
    </row>
    <row r="63" spans="1:9" ht="25.5" x14ac:dyDescent="0.25">
      <c r="A63" s="39">
        <v>3221</v>
      </c>
      <c r="B63" s="40"/>
      <c r="C63" s="41"/>
      <c r="D63" s="38" t="s">
        <v>65</v>
      </c>
      <c r="E63" s="92"/>
      <c r="F63" s="92">
        <v>670</v>
      </c>
      <c r="G63" s="92"/>
      <c r="H63" s="92"/>
      <c r="I63" s="92"/>
    </row>
    <row r="64" spans="1:9" x14ac:dyDescent="0.25">
      <c r="A64" s="39">
        <v>3222</v>
      </c>
      <c r="B64" s="40"/>
      <c r="C64" s="41"/>
      <c r="D64" s="38" t="s">
        <v>66</v>
      </c>
      <c r="E64" s="92"/>
      <c r="F64" s="92"/>
      <c r="G64" s="92"/>
      <c r="H64" s="92"/>
      <c r="I64" s="92"/>
    </row>
    <row r="65" spans="1:9" x14ac:dyDescent="0.25">
      <c r="A65" s="39">
        <v>3223</v>
      </c>
      <c r="B65" s="40"/>
      <c r="C65" s="41"/>
      <c r="D65" s="38" t="s">
        <v>67</v>
      </c>
      <c r="E65" s="92"/>
      <c r="F65" s="92"/>
      <c r="G65" s="92"/>
      <c r="H65" s="92"/>
      <c r="I65" s="92"/>
    </row>
    <row r="66" spans="1:9" ht="25.5" x14ac:dyDescent="0.25">
      <c r="A66" s="39">
        <v>3224</v>
      </c>
      <c r="B66" s="40"/>
      <c r="C66" s="41"/>
      <c r="D66" s="38" t="s">
        <v>68</v>
      </c>
      <c r="E66" s="92"/>
      <c r="F66" s="92"/>
      <c r="G66" s="92"/>
      <c r="H66" s="92"/>
      <c r="I66" s="92"/>
    </row>
    <row r="67" spans="1:9" x14ac:dyDescent="0.25">
      <c r="A67" s="39">
        <v>3225</v>
      </c>
      <c r="B67" s="40"/>
      <c r="C67" s="41"/>
      <c r="D67" s="38" t="s">
        <v>69</v>
      </c>
      <c r="E67" s="92">
        <v>932.33</v>
      </c>
      <c r="F67" s="92"/>
      <c r="G67" s="92"/>
      <c r="H67" s="92"/>
      <c r="I67" s="92"/>
    </row>
    <row r="68" spans="1:9" ht="25.5" x14ac:dyDescent="0.25">
      <c r="A68" s="39">
        <v>3226</v>
      </c>
      <c r="B68" s="40"/>
      <c r="C68" s="41"/>
      <c r="D68" s="38" t="s">
        <v>70</v>
      </c>
      <c r="E68" s="92"/>
      <c r="F68" s="92"/>
      <c r="G68" s="92"/>
      <c r="H68" s="92"/>
      <c r="I68" s="92"/>
    </row>
    <row r="69" spans="1:9" ht="25.5" x14ac:dyDescent="0.25">
      <c r="A69" s="39">
        <v>3227</v>
      </c>
      <c r="B69" s="40"/>
      <c r="C69" s="41"/>
      <c r="D69" s="38" t="s">
        <v>71</v>
      </c>
      <c r="E69" s="92"/>
      <c r="F69" s="92"/>
      <c r="G69" s="92"/>
      <c r="H69" s="92"/>
      <c r="I69" s="92"/>
    </row>
    <row r="70" spans="1:9" x14ac:dyDescent="0.25">
      <c r="A70" s="42">
        <v>323</v>
      </c>
      <c r="B70" s="43"/>
      <c r="C70" s="44"/>
      <c r="D70" s="45" t="s">
        <v>46</v>
      </c>
      <c r="E70" s="91">
        <f t="shared" ref="E70:I70" si="31">SUM(E71:E79)</f>
        <v>1166.94</v>
      </c>
      <c r="F70" s="91">
        <f t="shared" ref="F70" si="32">SUM(F71:F79)</f>
        <v>1900</v>
      </c>
      <c r="G70" s="91">
        <f t="shared" si="31"/>
        <v>2000</v>
      </c>
      <c r="H70" s="91">
        <f t="shared" si="31"/>
        <v>2100</v>
      </c>
      <c r="I70" s="91">
        <f t="shared" si="31"/>
        <v>2100</v>
      </c>
    </row>
    <row r="71" spans="1:9" x14ac:dyDescent="0.25">
      <c r="A71" s="39">
        <v>3231</v>
      </c>
      <c r="B71" s="40"/>
      <c r="C71" s="41"/>
      <c r="D71" s="38" t="s">
        <v>72</v>
      </c>
      <c r="E71" s="92"/>
      <c r="F71" s="92">
        <v>600</v>
      </c>
      <c r="G71" s="92">
        <v>600</v>
      </c>
      <c r="H71" s="92">
        <v>600</v>
      </c>
      <c r="I71" s="92">
        <v>600</v>
      </c>
    </row>
    <row r="72" spans="1:9" ht="25.5" x14ac:dyDescent="0.25">
      <c r="A72" s="39">
        <v>3232</v>
      </c>
      <c r="B72" s="40"/>
      <c r="C72" s="41"/>
      <c r="D72" s="38" t="s">
        <v>73</v>
      </c>
      <c r="E72" s="92"/>
      <c r="F72" s="92"/>
      <c r="G72" s="92"/>
      <c r="H72" s="92"/>
      <c r="I72" s="92"/>
    </row>
    <row r="73" spans="1:9" x14ac:dyDescent="0.25">
      <c r="A73" s="39">
        <v>3233</v>
      </c>
      <c r="B73" s="40"/>
      <c r="C73" s="41"/>
      <c r="D73" s="38" t="s">
        <v>74</v>
      </c>
      <c r="E73" s="92"/>
      <c r="F73" s="92"/>
      <c r="G73" s="92"/>
      <c r="H73" s="92"/>
      <c r="I73" s="92"/>
    </row>
    <row r="74" spans="1:9" x14ac:dyDescent="0.25">
      <c r="A74" s="39">
        <v>3234</v>
      </c>
      <c r="B74" s="40"/>
      <c r="C74" s="41"/>
      <c r="D74" s="38" t="s">
        <v>75</v>
      </c>
      <c r="E74" s="92"/>
      <c r="F74" s="92"/>
      <c r="G74" s="92"/>
      <c r="H74" s="92"/>
      <c r="I74" s="92"/>
    </row>
    <row r="75" spans="1:9" x14ac:dyDescent="0.25">
      <c r="A75" s="39">
        <v>3235</v>
      </c>
      <c r="B75" s="40"/>
      <c r="C75" s="41"/>
      <c r="D75" s="38" t="s">
        <v>76</v>
      </c>
      <c r="E75" s="92"/>
      <c r="F75" s="92"/>
      <c r="G75" s="92"/>
      <c r="H75" s="92"/>
      <c r="I75" s="92"/>
    </row>
    <row r="76" spans="1:9" x14ac:dyDescent="0.25">
      <c r="A76" s="39">
        <v>3236</v>
      </c>
      <c r="B76" s="40"/>
      <c r="C76" s="41"/>
      <c r="D76" s="38" t="s">
        <v>77</v>
      </c>
      <c r="E76" s="92"/>
      <c r="F76" s="92">
        <v>1000</v>
      </c>
      <c r="G76" s="92">
        <v>1000</v>
      </c>
      <c r="H76" s="92">
        <v>1100</v>
      </c>
      <c r="I76" s="92">
        <v>1100</v>
      </c>
    </row>
    <row r="77" spans="1:9" x14ac:dyDescent="0.25">
      <c r="A77" s="39">
        <v>3237</v>
      </c>
      <c r="B77" s="40"/>
      <c r="C77" s="41"/>
      <c r="D77" s="38" t="s">
        <v>78</v>
      </c>
      <c r="E77" s="92"/>
      <c r="F77" s="92"/>
      <c r="G77" s="92"/>
      <c r="H77" s="92"/>
      <c r="I77" s="92"/>
    </row>
    <row r="78" spans="1:9" x14ac:dyDescent="0.25">
      <c r="A78" s="39">
        <v>3238</v>
      </c>
      <c r="B78" s="40"/>
      <c r="C78" s="41"/>
      <c r="D78" s="38" t="s">
        <v>79</v>
      </c>
      <c r="E78" s="92"/>
      <c r="F78" s="92"/>
      <c r="G78" s="92"/>
      <c r="H78" s="92"/>
      <c r="I78" s="92"/>
    </row>
    <row r="79" spans="1:9" x14ac:dyDescent="0.25">
      <c r="A79" s="39">
        <v>3239</v>
      </c>
      <c r="B79" s="40"/>
      <c r="C79" s="41"/>
      <c r="D79" s="38" t="s">
        <v>80</v>
      </c>
      <c r="E79" s="92">
        <v>1166.94</v>
      </c>
      <c r="F79" s="92">
        <v>300</v>
      </c>
      <c r="G79" s="92">
        <v>400</v>
      </c>
      <c r="H79" s="92">
        <v>400</v>
      </c>
      <c r="I79" s="92">
        <v>400</v>
      </c>
    </row>
    <row r="80" spans="1:9" ht="25.5" x14ac:dyDescent="0.25">
      <c r="A80" s="42">
        <v>329</v>
      </c>
      <c r="B80" s="43"/>
      <c r="C80" s="44"/>
      <c r="D80" s="45" t="s">
        <v>82</v>
      </c>
      <c r="E80" s="91">
        <f t="shared" ref="E80:I80" si="33">SUM(E81:E87)</f>
        <v>0</v>
      </c>
      <c r="F80" s="91">
        <f t="shared" ref="F80" si="34">SUM(F81:F87)</f>
        <v>0</v>
      </c>
      <c r="G80" s="91">
        <f t="shared" si="33"/>
        <v>0</v>
      </c>
      <c r="H80" s="91">
        <f t="shared" si="33"/>
        <v>0</v>
      </c>
      <c r="I80" s="91">
        <f t="shared" si="33"/>
        <v>0</v>
      </c>
    </row>
    <row r="81" spans="1:9" ht="38.25" x14ac:dyDescent="0.25">
      <c r="A81" s="82">
        <v>3291</v>
      </c>
      <c r="B81" s="83"/>
      <c r="C81" s="84"/>
      <c r="D81" s="81" t="s">
        <v>83</v>
      </c>
      <c r="E81" s="92"/>
      <c r="F81" s="92"/>
      <c r="G81" s="92"/>
      <c r="H81" s="92"/>
      <c r="I81" s="92"/>
    </row>
    <row r="82" spans="1:9" x14ac:dyDescent="0.25">
      <c r="A82" s="82">
        <v>3292</v>
      </c>
      <c r="B82" s="83"/>
      <c r="C82" s="84"/>
      <c r="D82" s="81" t="s">
        <v>84</v>
      </c>
      <c r="E82" s="92"/>
      <c r="F82" s="92"/>
      <c r="G82" s="92"/>
      <c r="H82" s="92"/>
      <c r="I82" s="92"/>
    </row>
    <row r="83" spans="1:9" x14ac:dyDescent="0.25">
      <c r="A83" s="82">
        <v>3293</v>
      </c>
      <c r="B83" s="83"/>
      <c r="C83" s="84"/>
      <c r="D83" s="81" t="s">
        <v>85</v>
      </c>
      <c r="E83" s="92"/>
      <c r="F83" s="92"/>
      <c r="G83" s="92"/>
      <c r="H83" s="92"/>
      <c r="I83" s="92"/>
    </row>
    <row r="84" spans="1:9" x14ac:dyDescent="0.25">
      <c r="A84" s="82">
        <v>3294</v>
      </c>
      <c r="B84" s="83"/>
      <c r="C84" s="84"/>
      <c r="D84" s="81" t="s">
        <v>86</v>
      </c>
      <c r="E84" s="92"/>
      <c r="F84" s="92"/>
      <c r="G84" s="92"/>
      <c r="H84" s="92"/>
      <c r="I84" s="92"/>
    </row>
    <row r="85" spans="1:9" x14ac:dyDescent="0.25">
      <c r="A85" s="82">
        <v>3295</v>
      </c>
      <c r="B85" s="83"/>
      <c r="C85" s="84"/>
      <c r="D85" s="81" t="s">
        <v>87</v>
      </c>
      <c r="E85" s="92"/>
      <c r="F85" s="92"/>
      <c r="G85" s="92"/>
      <c r="H85" s="92"/>
      <c r="I85" s="92"/>
    </row>
    <row r="86" spans="1:9" x14ac:dyDescent="0.25">
      <c r="A86" s="82">
        <v>3296</v>
      </c>
      <c r="B86" s="83"/>
      <c r="C86" s="84"/>
      <c r="D86" s="81" t="s">
        <v>88</v>
      </c>
      <c r="E86" s="92"/>
      <c r="F86" s="92"/>
      <c r="G86" s="92"/>
      <c r="H86" s="92"/>
      <c r="I86" s="92"/>
    </row>
    <row r="87" spans="1:9" ht="25.5" x14ac:dyDescent="0.25">
      <c r="A87" s="82">
        <v>3299</v>
      </c>
      <c r="B87" s="83"/>
      <c r="C87" s="84"/>
      <c r="D87" s="81" t="s">
        <v>47</v>
      </c>
      <c r="E87" s="92"/>
      <c r="F87" s="92"/>
      <c r="G87" s="92"/>
      <c r="H87" s="92"/>
      <c r="I87" s="92"/>
    </row>
    <row r="88" spans="1:9" x14ac:dyDescent="0.25">
      <c r="A88" s="39"/>
      <c r="B88" s="40"/>
      <c r="C88" s="41"/>
      <c r="D88" s="38"/>
      <c r="E88" s="92"/>
      <c r="F88" s="92"/>
      <c r="G88" s="92"/>
      <c r="H88" s="92"/>
      <c r="I88" s="92"/>
    </row>
    <row r="89" spans="1:9" x14ac:dyDescent="0.25">
      <c r="A89" s="39"/>
      <c r="B89" s="40"/>
      <c r="C89" s="41"/>
      <c r="D89" s="206" t="s">
        <v>100</v>
      </c>
      <c r="E89" s="207">
        <f>E55+E80</f>
        <v>2099.27</v>
      </c>
      <c r="F89" s="207">
        <f>F55</f>
        <v>3100</v>
      </c>
      <c r="G89" s="207">
        <f>G55</f>
        <v>2000</v>
      </c>
      <c r="H89" s="207">
        <f t="shared" ref="H89:I89" si="35">H55</f>
        <v>2100</v>
      </c>
      <c r="I89" s="207">
        <f t="shared" si="35"/>
        <v>2100</v>
      </c>
    </row>
    <row r="90" spans="1:9" ht="38.25" x14ac:dyDescent="0.25">
      <c r="A90" s="212">
        <v>4</v>
      </c>
      <c r="B90" s="213"/>
      <c r="C90" s="214"/>
      <c r="D90" s="209" t="s">
        <v>40</v>
      </c>
      <c r="E90" s="211">
        <f t="shared" ref="E90:I90" si="36">SUM(E91)</f>
        <v>968</v>
      </c>
      <c r="F90" s="211">
        <f t="shared" si="36"/>
        <v>0</v>
      </c>
      <c r="G90" s="211">
        <f t="shared" si="36"/>
        <v>0</v>
      </c>
      <c r="H90" s="211">
        <f t="shared" si="36"/>
        <v>0</v>
      </c>
      <c r="I90" s="211">
        <f t="shared" si="36"/>
        <v>0</v>
      </c>
    </row>
    <row r="91" spans="1:9" ht="38.25" x14ac:dyDescent="0.25">
      <c r="A91" s="140">
        <v>42</v>
      </c>
      <c r="B91" s="141"/>
      <c r="C91" s="142"/>
      <c r="D91" s="47" t="s">
        <v>40</v>
      </c>
      <c r="E91" s="90">
        <f t="shared" ref="E91:I91" si="37">SUM(E92+E99)</f>
        <v>968</v>
      </c>
      <c r="F91" s="90">
        <f t="shared" ref="F91" si="38">SUM(F92+F99)</f>
        <v>0</v>
      </c>
      <c r="G91" s="90">
        <f t="shared" si="37"/>
        <v>0</v>
      </c>
      <c r="H91" s="90">
        <f t="shared" si="37"/>
        <v>0</v>
      </c>
      <c r="I91" s="90">
        <f t="shared" si="37"/>
        <v>0</v>
      </c>
    </row>
    <row r="92" spans="1:9" x14ac:dyDescent="0.25">
      <c r="A92" s="42">
        <v>422</v>
      </c>
      <c r="B92" s="43"/>
      <c r="C92" s="44"/>
      <c r="D92" s="45" t="s">
        <v>52</v>
      </c>
      <c r="E92" s="91">
        <f t="shared" ref="E92:I92" si="39">SUM(E93:E98)</f>
        <v>968</v>
      </c>
      <c r="F92" s="91">
        <f t="shared" ref="F92" si="40">SUM(F93:F98)</f>
        <v>0</v>
      </c>
      <c r="G92" s="91">
        <f t="shared" si="39"/>
        <v>0</v>
      </c>
      <c r="H92" s="91">
        <f t="shared" si="39"/>
        <v>0</v>
      </c>
      <c r="I92" s="91">
        <f t="shared" si="39"/>
        <v>0</v>
      </c>
    </row>
    <row r="93" spans="1:9" x14ac:dyDescent="0.25">
      <c r="A93" s="82">
        <v>4221</v>
      </c>
      <c r="B93" s="83"/>
      <c r="C93" s="84"/>
      <c r="D93" s="81" t="s">
        <v>93</v>
      </c>
      <c r="E93" s="92"/>
      <c r="F93" s="92"/>
      <c r="G93" s="92"/>
      <c r="H93" s="92"/>
      <c r="I93" s="92"/>
    </row>
    <row r="94" spans="1:9" x14ac:dyDescent="0.25">
      <c r="A94" s="82">
        <v>4222</v>
      </c>
      <c r="B94" s="83"/>
      <c r="C94" s="84"/>
      <c r="D94" s="81" t="s">
        <v>94</v>
      </c>
      <c r="E94" s="92"/>
      <c r="F94" s="92"/>
      <c r="G94" s="92"/>
      <c r="H94" s="92"/>
      <c r="I94" s="92"/>
    </row>
    <row r="95" spans="1:9" x14ac:dyDescent="0.25">
      <c r="A95" s="82">
        <v>4223</v>
      </c>
      <c r="B95" s="83"/>
      <c r="C95" s="84"/>
      <c r="D95" s="81" t="s">
        <v>95</v>
      </c>
      <c r="E95" s="92"/>
      <c r="F95" s="92"/>
      <c r="G95" s="92"/>
      <c r="H95" s="92"/>
      <c r="I95" s="92"/>
    </row>
    <row r="96" spans="1:9" x14ac:dyDescent="0.25">
      <c r="A96" s="82">
        <v>4225</v>
      </c>
      <c r="B96" s="83"/>
      <c r="C96" s="84"/>
      <c r="D96" s="81" t="s">
        <v>96</v>
      </c>
      <c r="E96" s="92"/>
      <c r="F96" s="92"/>
      <c r="G96" s="92"/>
      <c r="H96" s="92"/>
      <c r="I96" s="92"/>
    </row>
    <row r="97" spans="1:9" x14ac:dyDescent="0.25">
      <c r="A97" s="82">
        <v>4226</v>
      </c>
      <c r="B97" s="83"/>
      <c r="C97" s="84"/>
      <c r="D97" s="81" t="s">
        <v>97</v>
      </c>
      <c r="E97" s="92"/>
      <c r="F97" s="92"/>
      <c r="G97" s="92"/>
      <c r="H97" s="92"/>
      <c r="I97" s="92"/>
    </row>
    <row r="98" spans="1:9" ht="25.5" x14ac:dyDescent="0.25">
      <c r="A98" s="82">
        <v>4227</v>
      </c>
      <c r="B98" s="83"/>
      <c r="C98" s="84"/>
      <c r="D98" s="81" t="s">
        <v>98</v>
      </c>
      <c r="E98" s="92">
        <v>968</v>
      </c>
      <c r="F98" s="92"/>
      <c r="G98" s="92"/>
      <c r="H98" s="92"/>
      <c r="I98" s="92"/>
    </row>
    <row r="99" spans="1:9" ht="25.5" x14ac:dyDescent="0.25">
      <c r="A99" s="42">
        <v>424</v>
      </c>
      <c r="B99" s="43"/>
      <c r="C99" s="44"/>
      <c r="D99" s="45" t="s">
        <v>53</v>
      </c>
      <c r="E99" s="91">
        <f t="shared" ref="E99:I99" si="41">SUM(E100)</f>
        <v>0</v>
      </c>
      <c r="F99" s="91">
        <f t="shared" si="41"/>
        <v>0</v>
      </c>
      <c r="G99" s="91">
        <f t="shared" si="41"/>
        <v>0</v>
      </c>
      <c r="H99" s="91">
        <f t="shared" si="41"/>
        <v>0</v>
      </c>
      <c r="I99" s="91">
        <f t="shared" si="41"/>
        <v>0</v>
      </c>
    </row>
    <row r="100" spans="1:9" x14ac:dyDescent="0.25">
      <c r="A100" s="82">
        <v>4241</v>
      </c>
      <c r="B100" s="83"/>
      <c r="C100" s="84"/>
      <c r="D100" s="81" t="s">
        <v>99</v>
      </c>
      <c r="E100" s="92"/>
      <c r="F100" s="92"/>
      <c r="G100" s="92"/>
      <c r="H100" s="92"/>
      <c r="I100" s="92"/>
    </row>
    <row r="101" spans="1:9" x14ac:dyDescent="0.25">
      <c r="A101" s="82"/>
      <c r="B101" s="83"/>
      <c r="C101" s="84"/>
      <c r="D101" s="81"/>
      <c r="E101" s="92"/>
      <c r="F101" s="92"/>
      <c r="G101" s="92"/>
      <c r="H101" s="92"/>
      <c r="I101" s="92"/>
    </row>
    <row r="102" spans="1:9" x14ac:dyDescent="0.25">
      <c r="A102" s="82"/>
      <c r="B102" s="83"/>
      <c r="C102" s="84"/>
      <c r="D102" s="206" t="s">
        <v>100</v>
      </c>
      <c r="E102" s="207">
        <f>SUM(E90+E55)</f>
        <v>3067.27</v>
      </c>
      <c r="F102" s="207">
        <f t="shared" ref="F102:I102" si="42">SUM(F90+F55)</f>
        <v>3100</v>
      </c>
      <c r="G102" s="207">
        <f t="shared" si="42"/>
        <v>2000</v>
      </c>
      <c r="H102" s="207">
        <f t="shared" si="42"/>
        <v>2100</v>
      </c>
      <c r="I102" s="207">
        <f t="shared" si="42"/>
        <v>2100</v>
      </c>
    </row>
    <row r="103" spans="1:9" x14ac:dyDescent="0.25">
      <c r="A103" s="50"/>
      <c r="B103" s="51"/>
      <c r="C103" s="52"/>
      <c r="D103" s="49"/>
      <c r="E103" s="8"/>
      <c r="F103" s="8"/>
      <c r="G103" s="8"/>
      <c r="H103" s="8"/>
      <c r="I103" s="8"/>
    </row>
    <row r="104" spans="1:9" ht="25.5" x14ac:dyDescent="0.25">
      <c r="A104" s="256" t="s">
        <v>26</v>
      </c>
      <c r="B104" s="257"/>
      <c r="C104" s="258"/>
      <c r="D104" s="19" t="s">
        <v>27</v>
      </c>
      <c r="E104" s="19" t="s">
        <v>182</v>
      </c>
      <c r="F104" s="20" t="s">
        <v>186</v>
      </c>
      <c r="G104" s="20" t="s">
        <v>183</v>
      </c>
      <c r="H104" s="20" t="s">
        <v>160</v>
      </c>
      <c r="I104" s="20" t="s">
        <v>184</v>
      </c>
    </row>
    <row r="105" spans="1:9" ht="15" customHeight="1" x14ac:dyDescent="0.25">
      <c r="A105" s="259" t="s">
        <v>101</v>
      </c>
      <c r="B105" s="260"/>
      <c r="C105" s="261"/>
      <c r="D105" s="85" t="s">
        <v>33</v>
      </c>
      <c r="E105" s="8"/>
      <c r="F105" s="8"/>
      <c r="G105" s="8"/>
      <c r="H105" s="8"/>
      <c r="I105" s="8"/>
    </row>
    <row r="106" spans="1:9" ht="25.5" customHeight="1" x14ac:dyDescent="0.25">
      <c r="A106" s="259" t="s">
        <v>131</v>
      </c>
      <c r="B106" s="260"/>
      <c r="C106" s="261"/>
      <c r="D106" s="85" t="s">
        <v>136</v>
      </c>
      <c r="E106" s="8"/>
      <c r="F106" s="8"/>
      <c r="G106" s="8"/>
      <c r="H106" s="8"/>
      <c r="I106" s="8"/>
    </row>
    <row r="107" spans="1:9" ht="15" customHeight="1" x14ac:dyDescent="0.25">
      <c r="A107" s="262">
        <v>43</v>
      </c>
      <c r="B107" s="263"/>
      <c r="C107" s="264"/>
      <c r="D107" s="86" t="s">
        <v>38</v>
      </c>
      <c r="E107" s="8"/>
      <c r="F107" s="8"/>
      <c r="G107" s="8"/>
      <c r="H107" s="8"/>
      <c r="I107" s="8"/>
    </row>
    <row r="108" spans="1:9" ht="15" customHeight="1" x14ac:dyDescent="0.25">
      <c r="A108" s="265">
        <v>3</v>
      </c>
      <c r="B108" s="266"/>
      <c r="C108" s="267"/>
      <c r="D108" s="209" t="s">
        <v>16</v>
      </c>
      <c r="E108" s="211">
        <f t="shared" ref="E108:I108" si="43">SUM(E109+E119+E153+E157)</f>
        <v>10472.17</v>
      </c>
      <c r="F108" s="211">
        <f>SUM(F109+F119+F153+F157)</f>
        <v>6965</v>
      </c>
      <c r="G108" s="211">
        <f>SUM(G109+G119+G153+G157)</f>
        <v>5000</v>
      </c>
      <c r="H108" s="211">
        <f t="shared" si="43"/>
        <v>5300</v>
      </c>
      <c r="I108" s="211">
        <f t="shared" si="43"/>
        <v>5300</v>
      </c>
    </row>
    <row r="109" spans="1:9" x14ac:dyDescent="0.25">
      <c r="A109" s="253">
        <v>31</v>
      </c>
      <c r="B109" s="254"/>
      <c r="C109" s="255"/>
      <c r="D109" s="47" t="s">
        <v>17</v>
      </c>
      <c r="E109" s="90">
        <f t="shared" ref="E109:I109" si="44">SUM(E110+E114+E116)</f>
        <v>20</v>
      </c>
      <c r="F109" s="90">
        <f t="shared" ref="F109" si="45">SUM(F110+F114+F116)</f>
        <v>0</v>
      </c>
      <c r="G109" s="90">
        <f t="shared" si="44"/>
        <v>0</v>
      </c>
      <c r="H109" s="90">
        <f t="shared" si="44"/>
        <v>0</v>
      </c>
      <c r="I109" s="90">
        <f t="shared" si="44"/>
        <v>0</v>
      </c>
    </row>
    <row r="110" spans="1:9" ht="15" customHeight="1" x14ac:dyDescent="0.25">
      <c r="A110" s="42">
        <v>311</v>
      </c>
      <c r="B110" s="43"/>
      <c r="C110" s="44"/>
      <c r="D110" s="45" t="s">
        <v>42</v>
      </c>
      <c r="E110" s="91">
        <f t="shared" ref="E110:I110" si="46">SUM(E111:E113)</f>
        <v>20</v>
      </c>
      <c r="F110" s="91">
        <f t="shared" ref="F110" si="47">SUM(F111:F113)</f>
        <v>0</v>
      </c>
      <c r="G110" s="91">
        <f t="shared" si="46"/>
        <v>0</v>
      </c>
      <c r="H110" s="91">
        <f t="shared" si="46"/>
        <v>0</v>
      </c>
      <c r="I110" s="91">
        <f t="shared" si="46"/>
        <v>0</v>
      </c>
    </row>
    <row r="111" spans="1:9" x14ac:dyDescent="0.25">
      <c r="A111" s="50">
        <v>3111</v>
      </c>
      <c r="B111" s="51"/>
      <c r="C111" s="52"/>
      <c r="D111" s="49" t="s">
        <v>54</v>
      </c>
      <c r="E111" s="92">
        <v>17.170000000000002</v>
      </c>
      <c r="F111" s="92">
        <v>0</v>
      </c>
      <c r="G111" s="92">
        <v>0</v>
      </c>
      <c r="H111" s="92">
        <v>0</v>
      </c>
      <c r="I111" s="92">
        <v>0</v>
      </c>
    </row>
    <row r="112" spans="1:9" x14ac:dyDescent="0.25">
      <c r="A112" s="50">
        <v>3113</v>
      </c>
      <c r="B112" s="51"/>
      <c r="C112" s="52"/>
      <c r="D112" s="49" t="s">
        <v>55</v>
      </c>
      <c r="E112" s="92"/>
      <c r="F112" s="92"/>
      <c r="G112" s="92"/>
      <c r="H112" s="92"/>
      <c r="I112" s="92"/>
    </row>
    <row r="113" spans="1:9" x14ac:dyDescent="0.25">
      <c r="A113" s="50">
        <v>3114</v>
      </c>
      <c r="B113" s="51"/>
      <c r="C113" s="52"/>
      <c r="D113" s="49" t="s">
        <v>56</v>
      </c>
      <c r="E113" s="92">
        <v>2.83</v>
      </c>
      <c r="F113" s="92"/>
      <c r="G113" s="92"/>
      <c r="H113" s="92"/>
      <c r="I113" s="92"/>
    </row>
    <row r="114" spans="1:9" x14ac:dyDescent="0.25">
      <c r="A114" s="42">
        <v>312</v>
      </c>
      <c r="B114" s="43"/>
      <c r="C114" s="44"/>
      <c r="D114" s="45" t="s">
        <v>57</v>
      </c>
      <c r="E114" s="91">
        <f t="shared" ref="E114:I114" si="48">SUM(E115)</f>
        <v>0</v>
      </c>
      <c r="F114" s="91">
        <f t="shared" si="48"/>
        <v>0</v>
      </c>
      <c r="G114" s="91">
        <f t="shared" si="48"/>
        <v>0</v>
      </c>
      <c r="H114" s="91">
        <f t="shared" si="48"/>
        <v>0</v>
      </c>
      <c r="I114" s="91">
        <f t="shared" si="48"/>
        <v>0</v>
      </c>
    </row>
    <row r="115" spans="1:9" x14ac:dyDescent="0.25">
      <c r="A115" s="50">
        <v>3121</v>
      </c>
      <c r="B115" s="51"/>
      <c r="C115" s="52"/>
      <c r="D115" s="49" t="s">
        <v>58</v>
      </c>
      <c r="E115" s="92"/>
      <c r="F115" s="92"/>
      <c r="G115" s="92"/>
      <c r="H115" s="92"/>
      <c r="I115" s="92"/>
    </row>
    <row r="116" spans="1:9" x14ac:dyDescent="0.25">
      <c r="A116" s="42">
        <v>313</v>
      </c>
      <c r="B116" s="43"/>
      <c r="C116" s="44"/>
      <c r="D116" s="45" t="s">
        <v>43</v>
      </c>
      <c r="E116" s="91">
        <f>SUM(E117:E118)</f>
        <v>0</v>
      </c>
      <c r="F116" s="91">
        <f t="shared" ref="F116" si="49">SUM(F117:F118)</f>
        <v>0</v>
      </c>
      <c r="G116" s="91">
        <f t="shared" ref="G116:I116" si="50">SUM(G117:G118)</f>
        <v>0</v>
      </c>
      <c r="H116" s="91">
        <f t="shared" si="50"/>
        <v>0</v>
      </c>
      <c r="I116" s="91">
        <f t="shared" si="50"/>
        <v>0</v>
      </c>
    </row>
    <row r="117" spans="1:9" x14ac:dyDescent="0.25">
      <c r="A117" s="50">
        <v>3131</v>
      </c>
      <c r="B117" s="51"/>
      <c r="C117" s="52"/>
      <c r="D117" s="49" t="s">
        <v>59</v>
      </c>
      <c r="E117" s="92"/>
      <c r="F117" s="92"/>
      <c r="G117" s="92"/>
      <c r="H117" s="92"/>
      <c r="I117" s="92"/>
    </row>
    <row r="118" spans="1:9" ht="25.5" x14ac:dyDescent="0.25">
      <c r="A118" s="50">
        <v>3132</v>
      </c>
      <c r="B118" s="51"/>
      <c r="C118" s="52"/>
      <c r="D118" s="49" t="s">
        <v>60</v>
      </c>
      <c r="E118" s="92"/>
      <c r="F118" s="92"/>
      <c r="G118" s="92"/>
      <c r="H118" s="92"/>
      <c r="I118" s="92"/>
    </row>
    <row r="119" spans="1:9" x14ac:dyDescent="0.25">
      <c r="A119" s="253">
        <v>32</v>
      </c>
      <c r="B119" s="254"/>
      <c r="C119" s="255"/>
      <c r="D119" s="47" t="s">
        <v>28</v>
      </c>
      <c r="E119" s="90">
        <f t="shared" ref="E119:I119" si="51">SUM(E120+E125+E133+E143+E145)</f>
        <v>10452.17</v>
      </c>
      <c r="F119" s="90">
        <f t="shared" ref="F119" si="52">SUM(F120+F125+F133+F143+F145)</f>
        <v>6965</v>
      </c>
      <c r="G119" s="90">
        <f t="shared" si="51"/>
        <v>5000</v>
      </c>
      <c r="H119" s="90">
        <f t="shared" si="51"/>
        <v>5300</v>
      </c>
      <c r="I119" s="90">
        <f t="shared" si="51"/>
        <v>5300</v>
      </c>
    </row>
    <row r="120" spans="1:9" x14ac:dyDescent="0.25">
      <c r="A120" s="42">
        <v>321</v>
      </c>
      <c r="B120" s="43"/>
      <c r="C120" s="44"/>
      <c r="D120" s="45" t="s">
        <v>44</v>
      </c>
      <c r="E120" s="91">
        <f t="shared" ref="E120:I120" si="53">SUM(E121:E124)</f>
        <v>849.6</v>
      </c>
      <c r="F120" s="91">
        <f t="shared" ref="F120" si="54">SUM(F121:F124)</f>
        <v>530</v>
      </c>
      <c r="G120" s="91">
        <f t="shared" si="53"/>
        <v>0</v>
      </c>
      <c r="H120" s="91">
        <f t="shared" si="53"/>
        <v>0</v>
      </c>
      <c r="I120" s="91">
        <f t="shared" si="53"/>
        <v>0</v>
      </c>
    </row>
    <row r="121" spans="1:9" x14ac:dyDescent="0.25">
      <c r="A121" s="50">
        <v>3211</v>
      </c>
      <c r="B121" s="51"/>
      <c r="C121" s="52"/>
      <c r="D121" s="49" t="s">
        <v>61</v>
      </c>
      <c r="E121" s="92">
        <v>849.6</v>
      </c>
      <c r="F121" s="92">
        <v>530</v>
      </c>
      <c r="G121" s="92"/>
      <c r="H121" s="92"/>
      <c r="I121" s="92"/>
    </row>
    <row r="122" spans="1:9" ht="25.5" x14ac:dyDescent="0.25">
      <c r="A122" s="50">
        <v>3212</v>
      </c>
      <c r="B122" s="51"/>
      <c r="C122" s="52"/>
      <c r="D122" s="49" t="s">
        <v>62</v>
      </c>
      <c r="E122" s="92"/>
      <c r="F122" s="92"/>
      <c r="G122" s="92"/>
      <c r="H122" s="92"/>
      <c r="I122" s="92"/>
    </row>
    <row r="123" spans="1:9" x14ac:dyDescent="0.25">
      <c r="A123" s="50">
        <v>3213</v>
      </c>
      <c r="B123" s="51"/>
      <c r="C123" s="52"/>
      <c r="D123" s="49" t="s">
        <v>63</v>
      </c>
      <c r="E123" s="92"/>
      <c r="F123" s="92"/>
      <c r="G123" s="92"/>
      <c r="H123" s="92"/>
      <c r="I123" s="92"/>
    </row>
    <row r="124" spans="1:9" ht="25.5" x14ac:dyDescent="0.25">
      <c r="A124" s="50">
        <v>3214</v>
      </c>
      <c r="B124" s="51"/>
      <c r="C124" s="52"/>
      <c r="D124" s="49" t="s">
        <v>64</v>
      </c>
      <c r="E124" s="92"/>
      <c r="F124" s="92"/>
      <c r="G124" s="92"/>
      <c r="H124" s="92"/>
      <c r="I124" s="92"/>
    </row>
    <row r="125" spans="1:9" x14ac:dyDescent="0.25">
      <c r="A125" s="42">
        <v>322</v>
      </c>
      <c r="B125" s="43"/>
      <c r="C125" s="44"/>
      <c r="D125" s="45" t="s">
        <v>45</v>
      </c>
      <c r="E125" s="91">
        <f t="shared" ref="E125:I125" si="55">SUM(E126:E132)</f>
        <v>47.7</v>
      </c>
      <c r="F125" s="91">
        <f t="shared" ref="F125" si="56">SUM(F126:F132)</f>
        <v>500</v>
      </c>
      <c r="G125" s="91">
        <f t="shared" si="55"/>
        <v>500</v>
      </c>
      <c r="H125" s="91">
        <f t="shared" si="55"/>
        <v>500</v>
      </c>
      <c r="I125" s="91">
        <f t="shared" si="55"/>
        <v>500</v>
      </c>
    </row>
    <row r="126" spans="1:9" ht="25.5" x14ac:dyDescent="0.25">
      <c r="A126" s="50">
        <v>3221</v>
      </c>
      <c r="B126" s="51"/>
      <c r="C126" s="52"/>
      <c r="D126" s="49" t="s">
        <v>65</v>
      </c>
      <c r="E126" s="92">
        <v>47.7</v>
      </c>
      <c r="F126" s="92"/>
      <c r="G126" s="92"/>
      <c r="H126" s="92"/>
      <c r="I126" s="92"/>
    </row>
    <row r="127" spans="1:9" x14ac:dyDescent="0.25">
      <c r="A127" s="50">
        <v>3222</v>
      </c>
      <c r="B127" s="51"/>
      <c r="C127" s="52"/>
      <c r="D127" s="49" t="s">
        <v>66</v>
      </c>
      <c r="E127" s="92"/>
      <c r="F127" s="92"/>
      <c r="G127" s="92"/>
      <c r="H127" s="92"/>
      <c r="I127" s="92"/>
    </row>
    <row r="128" spans="1:9" x14ac:dyDescent="0.25">
      <c r="A128" s="50">
        <v>3223</v>
      </c>
      <c r="B128" s="51"/>
      <c r="C128" s="52"/>
      <c r="D128" s="49" t="s">
        <v>67</v>
      </c>
      <c r="E128" s="92">
        <v>0</v>
      </c>
      <c r="F128" s="92"/>
      <c r="G128" s="92"/>
      <c r="H128" s="92"/>
      <c r="I128" s="92"/>
    </row>
    <row r="129" spans="1:9" ht="25.5" x14ac:dyDescent="0.25">
      <c r="A129" s="50">
        <v>3224</v>
      </c>
      <c r="B129" s="51"/>
      <c r="C129" s="52"/>
      <c r="D129" s="49" t="s">
        <v>68</v>
      </c>
      <c r="E129" s="92">
        <v>0</v>
      </c>
      <c r="F129" s="92"/>
      <c r="G129" s="92"/>
      <c r="H129" s="92"/>
      <c r="I129" s="92"/>
    </row>
    <row r="130" spans="1:9" x14ac:dyDescent="0.25">
      <c r="A130" s="50">
        <v>3225</v>
      </c>
      <c r="B130" s="51"/>
      <c r="C130" s="52"/>
      <c r="D130" s="49" t="s">
        <v>69</v>
      </c>
      <c r="E130" s="92"/>
      <c r="F130" s="92">
        <v>500</v>
      </c>
      <c r="G130" s="92">
        <v>500</v>
      </c>
      <c r="H130" s="92">
        <v>500</v>
      </c>
      <c r="I130" s="92">
        <v>500</v>
      </c>
    </row>
    <row r="131" spans="1:9" ht="25.5" x14ac:dyDescent="0.25">
      <c r="A131" s="50">
        <v>3226</v>
      </c>
      <c r="B131" s="51"/>
      <c r="C131" s="52"/>
      <c r="D131" s="49" t="s">
        <v>70</v>
      </c>
      <c r="E131" s="92">
        <v>0</v>
      </c>
      <c r="F131" s="92"/>
      <c r="G131" s="92"/>
      <c r="H131" s="92"/>
      <c r="I131" s="92"/>
    </row>
    <row r="132" spans="1:9" ht="25.5" x14ac:dyDescent="0.25">
      <c r="A132" s="50">
        <v>3227</v>
      </c>
      <c r="B132" s="51"/>
      <c r="C132" s="52"/>
      <c r="D132" s="49" t="s">
        <v>71</v>
      </c>
      <c r="E132" s="92">
        <v>0</v>
      </c>
      <c r="F132" s="92"/>
      <c r="G132" s="92"/>
      <c r="H132" s="92"/>
      <c r="I132" s="92"/>
    </row>
    <row r="133" spans="1:9" x14ac:dyDescent="0.25">
      <c r="A133" s="42">
        <v>323</v>
      </c>
      <c r="B133" s="43"/>
      <c r="C133" s="44"/>
      <c r="D133" s="45" t="s">
        <v>46</v>
      </c>
      <c r="E133" s="91">
        <f t="shared" ref="E133:I133" si="57">SUM(E134:E142)</f>
        <v>1929.13</v>
      </c>
      <c r="F133" s="91">
        <f t="shared" ref="F133" si="58">SUM(F134:F142)</f>
        <v>800</v>
      </c>
      <c r="G133" s="91">
        <f t="shared" si="57"/>
        <v>1000</v>
      </c>
      <c r="H133" s="91">
        <f t="shared" si="57"/>
        <v>1000</v>
      </c>
      <c r="I133" s="91">
        <f t="shared" si="57"/>
        <v>1000</v>
      </c>
    </row>
    <row r="134" spans="1:9" x14ac:dyDescent="0.25">
      <c r="A134" s="50">
        <v>3231</v>
      </c>
      <c r="B134" s="51"/>
      <c r="C134" s="52"/>
      <c r="D134" s="49" t="s">
        <v>72</v>
      </c>
      <c r="E134" s="92">
        <v>1750</v>
      </c>
      <c r="F134" s="92">
        <v>700</v>
      </c>
      <c r="G134" s="92">
        <v>1000</v>
      </c>
      <c r="H134" s="92">
        <v>1000</v>
      </c>
      <c r="I134" s="92">
        <v>1000</v>
      </c>
    </row>
    <row r="135" spans="1:9" ht="25.5" x14ac:dyDescent="0.25">
      <c r="A135" s="50">
        <v>3232</v>
      </c>
      <c r="B135" s="51"/>
      <c r="C135" s="52"/>
      <c r="D135" s="49" t="s">
        <v>73</v>
      </c>
      <c r="E135" s="92"/>
      <c r="F135" s="92"/>
      <c r="G135" s="92"/>
      <c r="H135" s="92"/>
      <c r="I135" s="92"/>
    </row>
    <row r="136" spans="1:9" x14ac:dyDescent="0.25">
      <c r="A136" s="50">
        <v>3233</v>
      </c>
      <c r="B136" s="51"/>
      <c r="C136" s="52"/>
      <c r="D136" s="49" t="s">
        <v>74</v>
      </c>
      <c r="E136" s="92"/>
      <c r="F136" s="92"/>
      <c r="G136" s="92"/>
      <c r="H136" s="92"/>
      <c r="I136" s="92"/>
    </row>
    <row r="137" spans="1:9" x14ac:dyDescent="0.25">
      <c r="A137" s="50">
        <v>3234</v>
      </c>
      <c r="B137" s="51"/>
      <c r="C137" s="52"/>
      <c r="D137" s="49" t="s">
        <v>75</v>
      </c>
      <c r="E137" s="92"/>
      <c r="F137" s="92"/>
      <c r="G137" s="92"/>
      <c r="H137" s="92"/>
      <c r="I137" s="92"/>
    </row>
    <row r="138" spans="1:9" x14ac:dyDescent="0.25">
      <c r="A138" s="50">
        <v>3235</v>
      </c>
      <c r="B138" s="51"/>
      <c r="C138" s="52"/>
      <c r="D138" s="49" t="s">
        <v>76</v>
      </c>
      <c r="E138" s="92"/>
      <c r="F138" s="92"/>
      <c r="G138" s="92"/>
      <c r="H138" s="92"/>
      <c r="I138" s="92"/>
    </row>
    <row r="139" spans="1:9" x14ac:dyDescent="0.25">
      <c r="A139" s="50">
        <v>3236</v>
      </c>
      <c r="B139" s="51"/>
      <c r="C139" s="52"/>
      <c r="D139" s="49" t="s">
        <v>77</v>
      </c>
      <c r="E139" s="92"/>
      <c r="F139" s="92"/>
      <c r="G139" s="92"/>
      <c r="H139" s="92"/>
      <c r="I139" s="92"/>
    </row>
    <row r="140" spans="1:9" x14ac:dyDescent="0.25">
      <c r="A140" s="50">
        <v>3237</v>
      </c>
      <c r="B140" s="51"/>
      <c r="C140" s="52"/>
      <c r="D140" s="49" t="s">
        <v>78</v>
      </c>
      <c r="E140" s="92">
        <v>119.13</v>
      </c>
      <c r="F140" s="92"/>
      <c r="G140" s="92"/>
      <c r="H140" s="92"/>
      <c r="I140" s="92"/>
    </row>
    <row r="141" spans="1:9" x14ac:dyDescent="0.25">
      <c r="A141" s="50">
        <v>3238</v>
      </c>
      <c r="B141" s="51"/>
      <c r="C141" s="52"/>
      <c r="D141" s="49" t="s">
        <v>79</v>
      </c>
      <c r="E141" s="92"/>
      <c r="F141" s="92"/>
      <c r="G141" s="92"/>
      <c r="H141" s="92"/>
      <c r="I141" s="92"/>
    </row>
    <row r="142" spans="1:9" x14ac:dyDescent="0.25">
      <c r="A142" s="50">
        <v>3239</v>
      </c>
      <c r="B142" s="51"/>
      <c r="C142" s="52"/>
      <c r="D142" s="49" t="s">
        <v>80</v>
      </c>
      <c r="E142" s="92">
        <v>60</v>
      </c>
      <c r="F142" s="92">
        <v>100</v>
      </c>
      <c r="G142" s="92"/>
      <c r="H142" s="92"/>
      <c r="I142" s="92"/>
    </row>
    <row r="143" spans="1:9" ht="25.5" x14ac:dyDescent="0.25">
      <c r="A143" s="42">
        <v>324</v>
      </c>
      <c r="B143" s="43"/>
      <c r="C143" s="44"/>
      <c r="D143" s="45" t="s">
        <v>81</v>
      </c>
      <c r="E143" s="91"/>
      <c r="F143" s="91"/>
      <c r="G143" s="91"/>
      <c r="H143" s="91"/>
      <c r="I143" s="91"/>
    </row>
    <row r="144" spans="1:9" ht="19.5" customHeight="1" x14ac:dyDescent="0.25">
      <c r="A144" s="57">
        <v>3241</v>
      </c>
      <c r="B144" s="58"/>
      <c r="C144" s="59"/>
      <c r="D144" s="56" t="s">
        <v>107</v>
      </c>
      <c r="E144" s="92"/>
      <c r="F144" s="92"/>
      <c r="G144" s="92"/>
      <c r="H144" s="92"/>
      <c r="I144" s="92"/>
    </row>
    <row r="145" spans="1:9" ht="25.5" x14ac:dyDescent="0.25">
      <c r="A145" s="42">
        <v>329</v>
      </c>
      <c r="B145" s="43"/>
      <c r="C145" s="44"/>
      <c r="D145" s="45" t="s">
        <v>82</v>
      </c>
      <c r="E145" s="91">
        <f t="shared" ref="E145:I145" si="59">SUM(E146:E152)</f>
        <v>7625.74</v>
      </c>
      <c r="F145" s="91">
        <f t="shared" ref="F145" si="60">SUM(F146:F152)</f>
        <v>5135</v>
      </c>
      <c r="G145" s="91">
        <f t="shared" si="59"/>
        <v>3500</v>
      </c>
      <c r="H145" s="91">
        <f t="shared" si="59"/>
        <v>3800</v>
      </c>
      <c r="I145" s="91">
        <f t="shared" si="59"/>
        <v>3800</v>
      </c>
    </row>
    <row r="146" spans="1:9" ht="38.25" x14ac:dyDescent="0.25">
      <c r="A146" s="50">
        <v>3291</v>
      </c>
      <c r="B146" s="51"/>
      <c r="C146" s="52"/>
      <c r="D146" s="49" t="s">
        <v>83</v>
      </c>
      <c r="E146" s="92"/>
      <c r="F146" s="92"/>
      <c r="G146" s="92"/>
      <c r="H146" s="92"/>
      <c r="I146" s="92"/>
    </row>
    <row r="147" spans="1:9" x14ac:dyDescent="0.25">
      <c r="A147" s="50">
        <v>3292</v>
      </c>
      <c r="B147" s="51"/>
      <c r="C147" s="52"/>
      <c r="D147" s="49" t="s">
        <v>84</v>
      </c>
      <c r="E147" s="92"/>
      <c r="F147" s="92"/>
      <c r="G147" s="92"/>
      <c r="H147" s="92"/>
      <c r="I147" s="92"/>
    </row>
    <row r="148" spans="1:9" x14ac:dyDescent="0.25">
      <c r="A148" s="50">
        <v>3293</v>
      </c>
      <c r="B148" s="51"/>
      <c r="C148" s="52"/>
      <c r="D148" s="49" t="s">
        <v>85</v>
      </c>
      <c r="E148" s="92"/>
      <c r="F148" s="92"/>
      <c r="G148" s="92"/>
      <c r="H148" s="92"/>
      <c r="I148" s="92"/>
    </row>
    <row r="149" spans="1:9" x14ac:dyDescent="0.25">
      <c r="A149" s="50">
        <v>3294</v>
      </c>
      <c r="B149" s="51"/>
      <c r="C149" s="52"/>
      <c r="D149" s="49" t="s">
        <v>86</v>
      </c>
      <c r="E149" s="92"/>
      <c r="F149" s="92"/>
      <c r="G149" s="92"/>
      <c r="H149" s="92"/>
      <c r="I149" s="92"/>
    </row>
    <row r="150" spans="1:9" x14ac:dyDescent="0.25">
      <c r="A150" s="50">
        <v>3295</v>
      </c>
      <c r="B150" s="51"/>
      <c r="C150" s="52"/>
      <c r="D150" s="49" t="s">
        <v>87</v>
      </c>
      <c r="E150" s="92"/>
      <c r="F150" s="92"/>
      <c r="G150" s="92"/>
      <c r="H150" s="92"/>
      <c r="I150" s="92"/>
    </row>
    <row r="151" spans="1:9" x14ac:dyDescent="0.25">
      <c r="A151" s="50">
        <v>3296</v>
      </c>
      <c r="B151" s="51"/>
      <c r="C151" s="52"/>
      <c r="D151" s="49" t="s">
        <v>88</v>
      </c>
      <c r="E151" s="92"/>
      <c r="F151" s="92"/>
      <c r="G151" s="92"/>
      <c r="H151" s="92"/>
      <c r="I151" s="92"/>
    </row>
    <row r="152" spans="1:9" ht="25.5" x14ac:dyDescent="0.25">
      <c r="A152" s="50">
        <v>3299</v>
      </c>
      <c r="B152" s="51"/>
      <c r="C152" s="52"/>
      <c r="D152" s="49" t="s">
        <v>47</v>
      </c>
      <c r="E152" s="92">
        <v>7625.74</v>
      </c>
      <c r="F152" s="92">
        <v>5135</v>
      </c>
      <c r="G152" s="92">
        <v>3500</v>
      </c>
      <c r="H152" s="92">
        <v>3800</v>
      </c>
      <c r="I152" s="92">
        <v>3800</v>
      </c>
    </row>
    <row r="153" spans="1:9" x14ac:dyDescent="0.25">
      <c r="A153" s="53">
        <v>34</v>
      </c>
      <c r="B153" s="54"/>
      <c r="C153" s="55"/>
      <c r="D153" s="47" t="s">
        <v>48</v>
      </c>
      <c r="E153" s="90">
        <f t="shared" ref="E153:I153" si="61">SUM(E154)</f>
        <v>0</v>
      </c>
      <c r="F153" s="90">
        <f t="shared" si="61"/>
        <v>0</v>
      </c>
      <c r="G153" s="90">
        <f t="shared" si="61"/>
        <v>0</v>
      </c>
      <c r="H153" s="90">
        <f t="shared" si="61"/>
        <v>0</v>
      </c>
      <c r="I153" s="90">
        <f t="shared" si="61"/>
        <v>0</v>
      </c>
    </row>
    <row r="154" spans="1:9" x14ac:dyDescent="0.25">
      <c r="A154" s="42">
        <v>343</v>
      </c>
      <c r="B154" s="43"/>
      <c r="C154" s="44"/>
      <c r="D154" s="45" t="s">
        <v>49</v>
      </c>
      <c r="E154" s="91">
        <f t="shared" ref="E154:I154" si="62">SUM(E155:E156)</f>
        <v>0</v>
      </c>
      <c r="F154" s="91">
        <f t="shared" ref="F154" si="63">SUM(F155:F156)</f>
        <v>0</v>
      </c>
      <c r="G154" s="91">
        <f t="shared" si="62"/>
        <v>0</v>
      </c>
      <c r="H154" s="91">
        <f t="shared" si="62"/>
        <v>0</v>
      </c>
      <c r="I154" s="91">
        <f t="shared" si="62"/>
        <v>0</v>
      </c>
    </row>
    <row r="155" spans="1:9" ht="25.5" x14ac:dyDescent="0.25">
      <c r="A155" s="50">
        <v>3431</v>
      </c>
      <c r="B155" s="51"/>
      <c r="C155" s="52"/>
      <c r="D155" s="49" t="s">
        <v>89</v>
      </c>
      <c r="E155" s="92"/>
      <c r="F155" s="92"/>
      <c r="G155" s="92"/>
      <c r="H155" s="92"/>
      <c r="I155" s="92"/>
    </row>
    <row r="156" spans="1:9" x14ac:dyDescent="0.25">
      <c r="A156" s="50">
        <v>3433</v>
      </c>
      <c r="B156" s="51"/>
      <c r="C156" s="52"/>
      <c r="D156" s="49" t="s">
        <v>90</v>
      </c>
      <c r="E156" s="92"/>
      <c r="F156" s="92"/>
      <c r="G156" s="92"/>
      <c r="H156" s="92"/>
      <c r="I156" s="92"/>
    </row>
    <row r="157" spans="1:9" ht="38.25" x14ac:dyDescent="0.25">
      <c r="A157" s="53">
        <v>37</v>
      </c>
      <c r="B157" s="54"/>
      <c r="C157" s="55"/>
      <c r="D157" s="47" t="s">
        <v>50</v>
      </c>
      <c r="E157" s="90">
        <f t="shared" ref="E157:I157" si="64">SUM(E158)</f>
        <v>0</v>
      </c>
      <c r="F157" s="90">
        <f t="shared" si="64"/>
        <v>0</v>
      </c>
      <c r="G157" s="90">
        <f t="shared" si="64"/>
        <v>0</v>
      </c>
      <c r="H157" s="90">
        <f t="shared" si="64"/>
        <v>0</v>
      </c>
      <c r="I157" s="90">
        <f t="shared" si="64"/>
        <v>0</v>
      </c>
    </row>
    <row r="158" spans="1:9" ht="25.5" x14ac:dyDescent="0.25">
      <c r="A158" s="42">
        <v>372</v>
      </c>
      <c r="B158" s="43"/>
      <c r="C158" s="44"/>
      <c r="D158" s="45" t="s">
        <v>51</v>
      </c>
      <c r="E158" s="91"/>
      <c r="F158" s="91"/>
      <c r="G158" s="91"/>
      <c r="H158" s="91"/>
      <c r="I158" s="91"/>
    </row>
    <row r="159" spans="1:9" ht="25.5" x14ac:dyDescent="0.25">
      <c r="A159" s="50">
        <v>3721</v>
      </c>
      <c r="B159" s="51"/>
      <c r="C159" s="52"/>
      <c r="D159" s="49" t="s">
        <v>91</v>
      </c>
      <c r="E159" s="92"/>
      <c r="F159" s="92"/>
      <c r="G159" s="92"/>
      <c r="H159" s="92"/>
      <c r="I159" s="92"/>
    </row>
    <row r="160" spans="1:9" ht="25.5" x14ac:dyDescent="0.25">
      <c r="A160" s="50">
        <v>3722</v>
      </c>
      <c r="B160" s="51"/>
      <c r="C160" s="52"/>
      <c r="D160" s="49" t="s">
        <v>92</v>
      </c>
      <c r="E160" s="92"/>
      <c r="F160" s="92"/>
      <c r="G160" s="92"/>
      <c r="H160" s="92"/>
      <c r="I160" s="92"/>
    </row>
    <row r="161" spans="1:9" ht="38.25" x14ac:dyDescent="0.25">
      <c r="A161" s="212">
        <v>4</v>
      </c>
      <c r="B161" s="213"/>
      <c r="C161" s="214"/>
      <c r="D161" s="209" t="s">
        <v>40</v>
      </c>
      <c r="E161" s="211">
        <f t="shared" ref="E161:I161" si="65">SUM(E162)</f>
        <v>655.23</v>
      </c>
      <c r="F161" s="211">
        <f t="shared" si="65"/>
        <v>535</v>
      </c>
      <c r="G161" s="211">
        <f t="shared" si="65"/>
        <v>500</v>
      </c>
      <c r="H161" s="211">
        <f t="shared" si="65"/>
        <v>500</v>
      </c>
      <c r="I161" s="211">
        <f t="shared" si="65"/>
        <v>500</v>
      </c>
    </row>
    <row r="162" spans="1:9" ht="38.25" x14ac:dyDescent="0.25">
      <c r="A162" s="53">
        <v>42</v>
      </c>
      <c r="B162" s="54"/>
      <c r="C162" s="55"/>
      <c r="D162" s="47" t="s">
        <v>40</v>
      </c>
      <c r="E162" s="90">
        <f t="shared" ref="E162:I162" si="66">SUM(E163+E170)</f>
        <v>655.23</v>
      </c>
      <c r="F162" s="90">
        <f t="shared" ref="F162" si="67">SUM(F163+F170)</f>
        <v>535</v>
      </c>
      <c r="G162" s="90">
        <f t="shared" si="66"/>
        <v>500</v>
      </c>
      <c r="H162" s="90">
        <f t="shared" si="66"/>
        <v>500</v>
      </c>
      <c r="I162" s="90">
        <f t="shared" si="66"/>
        <v>500</v>
      </c>
    </row>
    <row r="163" spans="1:9" x14ac:dyDescent="0.25">
      <c r="A163" s="42">
        <v>422</v>
      </c>
      <c r="B163" s="43"/>
      <c r="C163" s="44"/>
      <c r="D163" s="45" t="s">
        <v>52</v>
      </c>
      <c r="E163" s="91">
        <f t="shared" ref="E163:I163" si="68">SUM(E164:E169)</f>
        <v>0</v>
      </c>
      <c r="F163" s="91">
        <f t="shared" ref="F163" si="69">SUM(F164:F169)</f>
        <v>0</v>
      </c>
      <c r="G163" s="91">
        <f t="shared" si="68"/>
        <v>0</v>
      </c>
      <c r="H163" s="91">
        <f t="shared" si="68"/>
        <v>0</v>
      </c>
      <c r="I163" s="91">
        <f t="shared" si="68"/>
        <v>0</v>
      </c>
    </row>
    <row r="164" spans="1:9" x14ac:dyDescent="0.25">
      <c r="A164" s="50">
        <v>4221</v>
      </c>
      <c r="B164" s="51"/>
      <c r="C164" s="52"/>
      <c r="D164" s="49" t="s">
        <v>93</v>
      </c>
      <c r="E164" s="92"/>
      <c r="F164" s="92"/>
      <c r="G164" s="92"/>
      <c r="H164" s="92"/>
      <c r="I164" s="92"/>
    </row>
    <row r="165" spans="1:9" x14ac:dyDescent="0.25">
      <c r="A165" s="50">
        <v>4222</v>
      </c>
      <c r="B165" s="51"/>
      <c r="C165" s="52"/>
      <c r="D165" s="49" t="s">
        <v>94</v>
      </c>
      <c r="E165" s="92"/>
      <c r="F165" s="92"/>
      <c r="G165" s="92"/>
      <c r="H165" s="92"/>
      <c r="I165" s="92"/>
    </row>
    <row r="166" spans="1:9" x14ac:dyDescent="0.25">
      <c r="A166" s="50">
        <v>4223</v>
      </c>
      <c r="B166" s="51"/>
      <c r="C166" s="52"/>
      <c r="D166" s="49" t="s">
        <v>95</v>
      </c>
      <c r="E166" s="92"/>
      <c r="F166" s="92"/>
      <c r="G166" s="92"/>
      <c r="H166" s="92"/>
      <c r="I166" s="92"/>
    </row>
    <row r="167" spans="1:9" x14ac:dyDescent="0.25">
      <c r="A167" s="50">
        <v>4225</v>
      </c>
      <c r="B167" s="51"/>
      <c r="C167" s="52"/>
      <c r="D167" s="49" t="s">
        <v>96</v>
      </c>
      <c r="E167" s="92"/>
      <c r="F167" s="92"/>
      <c r="G167" s="92"/>
      <c r="H167" s="92"/>
      <c r="I167" s="92"/>
    </row>
    <row r="168" spans="1:9" x14ac:dyDescent="0.25">
      <c r="A168" s="50">
        <v>4226</v>
      </c>
      <c r="B168" s="51"/>
      <c r="C168" s="52"/>
      <c r="D168" s="49" t="s">
        <v>97</v>
      </c>
      <c r="E168" s="92"/>
      <c r="F168" s="92"/>
      <c r="G168" s="92"/>
      <c r="H168" s="92"/>
      <c r="I168" s="92"/>
    </row>
    <row r="169" spans="1:9" ht="25.5" x14ac:dyDescent="0.25">
      <c r="A169" s="50">
        <v>4227</v>
      </c>
      <c r="B169" s="51"/>
      <c r="C169" s="52"/>
      <c r="D169" s="49" t="s">
        <v>98</v>
      </c>
      <c r="E169" s="92"/>
      <c r="F169" s="92"/>
      <c r="G169" s="92"/>
      <c r="H169" s="92"/>
      <c r="I169" s="92"/>
    </row>
    <row r="170" spans="1:9" ht="25.5" x14ac:dyDescent="0.25">
      <c r="A170" s="42">
        <v>424</v>
      </c>
      <c r="B170" s="43"/>
      <c r="C170" s="44"/>
      <c r="D170" s="45" t="s">
        <v>53</v>
      </c>
      <c r="E170" s="91">
        <f t="shared" ref="E170:I170" si="70">SUM(E171)</f>
        <v>655.23</v>
      </c>
      <c r="F170" s="91">
        <f t="shared" si="70"/>
        <v>535</v>
      </c>
      <c r="G170" s="91">
        <f t="shared" si="70"/>
        <v>500</v>
      </c>
      <c r="H170" s="91">
        <f t="shared" si="70"/>
        <v>500</v>
      </c>
      <c r="I170" s="91">
        <f t="shared" si="70"/>
        <v>500</v>
      </c>
    </row>
    <row r="171" spans="1:9" x14ac:dyDescent="0.25">
      <c r="A171" s="50">
        <v>4241</v>
      </c>
      <c r="B171" s="51"/>
      <c r="C171" s="52"/>
      <c r="D171" s="49" t="s">
        <v>99</v>
      </c>
      <c r="E171" s="92">
        <v>655.23</v>
      </c>
      <c r="F171" s="92">
        <v>535</v>
      </c>
      <c r="G171" s="92">
        <v>500</v>
      </c>
      <c r="H171" s="92">
        <v>500</v>
      </c>
      <c r="I171" s="92">
        <v>500</v>
      </c>
    </row>
    <row r="172" spans="1:9" x14ac:dyDescent="0.25">
      <c r="A172" s="50"/>
      <c r="B172" s="51"/>
      <c r="C172" s="52"/>
      <c r="D172" s="49"/>
      <c r="E172" s="92"/>
      <c r="F172" s="92"/>
      <c r="G172" s="92"/>
      <c r="H172" s="92"/>
      <c r="I172" s="92"/>
    </row>
    <row r="173" spans="1:9" x14ac:dyDescent="0.25">
      <c r="A173" s="50"/>
      <c r="B173" s="51"/>
      <c r="C173" s="52"/>
      <c r="D173" s="206" t="s">
        <v>100</v>
      </c>
      <c r="E173" s="207">
        <f t="shared" ref="E173:I173" si="71">SUM(E108+E161)</f>
        <v>11127.4</v>
      </c>
      <c r="F173" s="207">
        <f t="shared" ref="F173" si="72">SUM(F108+F161)</f>
        <v>7500</v>
      </c>
      <c r="G173" s="207">
        <f t="shared" si="71"/>
        <v>5500</v>
      </c>
      <c r="H173" s="207">
        <f t="shared" si="71"/>
        <v>5800</v>
      </c>
      <c r="I173" s="207">
        <f t="shared" si="71"/>
        <v>5800</v>
      </c>
    </row>
    <row r="174" spans="1:9" x14ac:dyDescent="0.25">
      <c r="A174" s="50"/>
      <c r="B174" s="51"/>
      <c r="C174" s="52"/>
      <c r="D174" s="49"/>
      <c r="E174" s="8"/>
      <c r="F174" s="8"/>
      <c r="G174" s="8"/>
      <c r="H174" s="8"/>
      <c r="I174" s="8"/>
    </row>
    <row r="175" spans="1:9" ht="25.5" x14ac:dyDescent="0.25">
      <c r="A175" s="256" t="s">
        <v>26</v>
      </c>
      <c r="B175" s="257"/>
      <c r="C175" s="258"/>
      <c r="D175" s="19" t="s">
        <v>27</v>
      </c>
      <c r="E175" s="19" t="s">
        <v>182</v>
      </c>
      <c r="F175" s="20" t="s">
        <v>186</v>
      </c>
      <c r="G175" s="20" t="s">
        <v>183</v>
      </c>
      <c r="H175" s="20" t="s">
        <v>160</v>
      </c>
      <c r="I175" s="20" t="s">
        <v>184</v>
      </c>
    </row>
    <row r="176" spans="1:9" ht="15" customHeight="1" x14ac:dyDescent="0.25">
      <c r="A176" s="259" t="s">
        <v>101</v>
      </c>
      <c r="B176" s="260"/>
      <c r="C176" s="261"/>
      <c r="D176" s="85" t="s">
        <v>33</v>
      </c>
      <c r="E176" s="8"/>
      <c r="F176" s="8"/>
      <c r="G176" s="8"/>
      <c r="H176" s="8"/>
      <c r="I176" s="8"/>
    </row>
    <row r="177" spans="1:9" ht="25.5" customHeight="1" x14ac:dyDescent="0.25">
      <c r="A177" s="259" t="s">
        <v>133</v>
      </c>
      <c r="B177" s="260"/>
      <c r="C177" s="261"/>
      <c r="D177" s="85" t="s">
        <v>135</v>
      </c>
      <c r="E177" s="8"/>
      <c r="F177" s="8"/>
      <c r="G177" s="8"/>
      <c r="H177" s="8"/>
      <c r="I177" s="8"/>
    </row>
    <row r="178" spans="1:9" ht="15" customHeight="1" x14ac:dyDescent="0.25">
      <c r="A178" s="262">
        <v>44</v>
      </c>
      <c r="B178" s="263"/>
      <c r="C178" s="264"/>
      <c r="D178" s="86" t="s">
        <v>134</v>
      </c>
      <c r="E178" s="8"/>
      <c r="F178" s="8"/>
      <c r="G178" s="8"/>
      <c r="H178" s="8"/>
      <c r="I178" s="8"/>
    </row>
    <row r="179" spans="1:9" x14ac:dyDescent="0.25">
      <c r="A179" s="265">
        <v>3</v>
      </c>
      <c r="B179" s="266"/>
      <c r="C179" s="267"/>
      <c r="D179" s="209" t="s">
        <v>16</v>
      </c>
      <c r="E179" s="211">
        <f t="shared" ref="E179:I179" si="73">SUM(E180+E190+E224+E228)</f>
        <v>32180.620000000003</v>
      </c>
      <c r="F179" s="211">
        <f t="shared" ref="F179" si="74">SUM(F180+F190+F224+F228)</f>
        <v>28000</v>
      </c>
      <c r="G179" s="211">
        <f t="shared" si="73"/>
        <v>28000</v>
      </c>
      <c r="H179" s="211">
        <f t="shared" si="73"/>
        <v>28000</v>
      </c>
      <c r="I179" s="211">
        <f t="shared" si="73"/>
        <v>28000</v>
      </c>
    </row>
    <row r="180" spans="1:9" x14ac:dyDescent="0.25">
      <c r="A180" s="253">
        <v>31</v>
      </c>
      <c r="B180" s="254"/>
      <c r="C180" s="255"/>
      <c r="D180" s="47" t="s">
        <v>17</v>
      </c>
      <c r="E180" s="90">
        <f t="shared" ref="E180:I180" si="75">SUM(E181+E185+E187)</f>
        <v>0</v>
      </c>
      <c r="F180" s="90">
        <f t="shared" ref="F180" si="76">SUM(F181+F185+F187)</f>
        <v>0</v>
      </c>
      <c r="G180" s="90">
        <f t="shared" si="75"/>
        <v>0</v>
      </c>
      <c r="H180" s="90">
        <f t="shared" si="75"/>
        <v>0</v>
      </c>
      <c r="I180" s="90">
        <f t="shared" si="75"/>
        <v>0</v>
      </c>
    </row>
    <row r="181" spans="1:9" ht="15" customHeight="1" x14ac:dyDescent="0.25">
      <c r="A181" s="42">
        <v>311</v>
      </c>
      <c r="B181" s="43"/>
      <c r="C181" s="44"/>
      <c r="D181" s="45" t="s">
        <v>42</v>
      </c>
      <c r="E181" s="91">
        <f t="shared" ref="E181:I181" si="77">SUM(E182:E184)</f>
        <v>0</v>
      </c>
      <c r="F181" s="91">
        <f t="shared" ref="F181" si="78">SUM(F182:F184)</f>
        <v>0</v>
      </c>
      <c r="G181" s="91">
        <f t="shared" si="77"/>
        <v>0</v>
      </c>
      <c r="H181" s="91">
        <f t="shared" si="77"/>
        <v>0</v>
      </c>
      <c r="I181" s="91">
        <f t="shared" si="77"/>
        <v>0</v>
      </c>
    </row>
    <row r="182" spans="1:9" x14ac:dyDescent="0.25">
      <c r="A182" s="82">
        <v>3111</v>
      </c>
      <c r="B182" s="83"/>
      <c r="C182" s="84"/>
      <c r="D182" s="81" t="s">
        <v>54</v>
      </c>
      <c r="E182" s="92">
        <v>0</v>
      </c>
      <c r="F182" s="92">
        <v>0</v>
      </c>
      <c r="G182" s="92">
        <v>0</v>
      </c>
      <c r="H182" s="92">
        <v>0</v>
      </c>
      <c r="I182" s="92">
        <v>0</v>
      </c>
    </row>
    <row r="183" spans="1:9" x14ac:dyDescent="0.25">
      <c r="A183" s="82">
        <v>3113</v>
      </c>
      <c r="B183" s="83"/>
      <c r="C183" s="84"/>
      <c r="D183" s="81" t="s">
        <v>55</v>
      </c>
      <c r="E183" s="92"/>
      <c r="F183" s="92"/>
      <c r="G183" s="92"/>
      <c r="H183" s="92"/>
      <c r="I183" s="92"/>
    </row>
    <row r="184" spans="1:9" x14ac:dyDescent="0.25">
      <c r="A184" s="82">
        <v>3114</v>
      </c>
      <c r="B184" s="83"/>
      <c r="C184" s="84"/>
      <c r="D184" s="81" t="s">
        <v>56</v>
      </c>
      <c r="E184" s="92">
        <v>0</v>
      </c>
      <c r="F184" s="92"/>
      <c r="G184" s="92"/>
      <c r="H184" s="92"/>
      <c r="I184" s="92"/>
    </row>
    <row r="185" spans="1:9" x14ac:dyDescent="0.25">
      <c r="A185" s="42">
        <v>312</v>
      </c>
      <c r="B185" s="43"/>
      <c r="C185" s="44"/>
      <c r="D185" s="45" t="s">
        <v>57</v>
      </c>
      <c r="E185" s="91">
        <f t="shared" ref="E185:I185" si="79">SUM(E186)</f>
        <v>0</v>
      </c>
      <c r="F185" s="91">
        <f t="shared" si="79"/>
        <v>0</v>
      </c>
      <c r="G185" s="91">
        <f t="shared" si="79"/>
        <v>0</v>
      </c>
      <c r="H185" s="91">
        <f t="shared" si="79"/>
        <v>0</v>
      </c>
      <c r="I185" s="91">
        <f t="shared" si="79"/>
        <v>0</v>
      </c>
    </row>
    <row r="186" spans="1:9" x14ac:dyDescent="0.25">
      <c r="A186" s="82">
        <v>3121</v>
      </c>
      <c r="B186" s="83"/>
      <c r="C186" s="84"/>
      <c r="D186" s="81" t="s">
        <v>58</v>
      </c>
      <c r="E186" s="92"/>
      <c r="F186" s="92"/>
      <c r="G186" s="92"/>
      <c r="H186" s="92"/>
      <c r="I186" s="92"/>
    </row>
    <row r="187" spans="1:9" x14ac:dyDescent="0.25">
      <c r="A187" s="42">
        <v>313</v>
      </c>
      <c r="B187" s="43"/>
      <c r="C187" s="44"/>
      <c r="D187" s="45" t="s">
        <v>43</v>
      </c>
      <c r="E187" s="91">
        <f>SUM(E188:E189)</f>
        <v>0</v>
      </c>
      <c r="F187" s="91">
        <f t="shared" ref="F187" si="80">SUM(F188:F189)</f>
        <v>0</v>
      </c>
      <c r="G187" s="91">
        <f t="shared" ref="G187" si="81">SUM(G188:G189)</f>
        <v>0</v>
      </c>
      <c r="H187" s="91">
        <f t="shared" ref="H187" si="82">SUM(H188:H189)</f>
        <v>0</v>
      </c>
      <c r="I187" s="91">
        <f t="shared" ref="I187" si="83">SUM(I188:I189)</f>
        <v>0</v>
      </c>
    </row>
    <row r="188" spans="1:9" x14ac:dyDescent="0.25">
      <c r="A188" s="82">
        <v>3131</v>
      </c>
      <c r="B188" s="83"/>
      <c r="C188" s="84"/>
      <c r="D188" s="81" t="s">
        <v>59</v>
      </c>
      <c r="E188" s="92"/>
      <c r="F188" s="92"/>
      <c r="G188" s="92"/>
      <c r="H188" s="92"/>
      <c r="I188" s="92"/>
    </row>
    <row r="189" spans="1:9" ht="25.5" x14ac:dyDescent="0.25">
      <c r="A189" s="82">
        <v>3132</v>
      </c>
      <c r="B189" s="83"/>
      <c r="C189" s="84"/>
      <c r="D189" s="81" t="s">
        <v>60</v>
      </c>
      <c r="E189" s="92"/>
      <c r="F189" s="92"/>
      <c r="G189" s="92"/>
      <c r="H189" s="92"/>
      <c r="I189" s="92"/>
    </row>
    <row r="190" spans="1:9" x14ac:dyDescent="0.25">
      <c r="A190" s="253">
        <v>32</v>
      </c>
      <c r="B190" s="254"/>
      <c r="C190" s="255"/>
      <c r="D190" s="47" t="s">
        <v>28</v>
      </c>
      <c r="E190" s="90">
        <f t="shared" ref="E190:I190" si="84">SUM(E191+E196+E204+E214+E216)</f>
        <v>31718.570000000003</v>
      </c>
      <c r="F190" s="90">
        <f>SUM(F191+F196+F204+F214+F216)</f>
        <v>27480</v>
      </c>
      <c r="G190" s="90">
        <f>SUM(G191+G196+G204+G214+G216)</f>
        <v>27480</v>
      </c>
      <c r="H190" s="90">
        <f t="shared" si="84"/>
        <v>27480</v>
      </c>
      <c r="I190" s="90">
        <f t="shared" si="84"/>
        <v>27480</v>
      </c>
    </row>
    <row r="191" spans="1:9" x14ac:dyDescent="0.25">
      <c r="A191" s="42">
        <v>321</v>
      </c>
      <c r="B191" s="43"/>
      <c r="C191" s="44"/>
      <c r="D191" s="45" t="s">
        <v>44</v>
      </c>
      <c r="E191" s="91">
        <f t="shared" ref="E191:I191" si="85">SUM(E192:E195)</f>
        <v>3244.67</v>
      </c>
      <c r="F191" s="91">
        <f t="shared" ref="F191" si="86">SUM(F192:F195)</f>
        <v>2365</v>
      </c>
      <c r="G191" s="91">
        <f t="shared" si="85"/>
        <v>2365</v>
      </c>
      <c r="H191" s="91">
        <f t="shared" si="85"/>
        <v>2365</v>
      </c>
      <c r="I191" s="91">
        <f t="shared" si="85"/>
        <v>2365</v>
      </c>
    </row>
    <row r="192" spans="1:9" x14ac:dyDescent="0.25">
      <c r="A192" s="82">
        <v>3211</v>
      </c>
      <c r="B192" s="83"/>
      <c r="C192" s="84"/>
      <c r="D192" s="81" t="s">
        <v>61</v>
      </c>
      <c r="E192" s="92">
        <v>1773.85</v>
      </c>
      <c r="F192" s="92">
        <f>2000-530-530</f>
        <v>940</v>
      </c>
      <c r="G192" s="92">
        <f t="shared" ref="G192:I192" si="87">2000-530-530</f>
        <v>940</v>
      </c>
      <c r="H192" s="92">
        <f t="shared" si="87"/>
        <v>940</v>
      </c>
      <c r="I192" s="92">
        <f t="shared" si="87"/>
        <v>940</v>
      </c>
    </row>
    <row r="193" spans="1:9" ht="25.5" x14ac:dyDescent="0.25">
      <c r="A193" s="82">
        <v>3212</v>
      </c>
      <c r="B193" s="83"/>
      <c r="C193" s="84"/>
      <c r="D193" s="81" t="s">
        <v>62</v>
      </c>
      <c r="E193" s="92">
        <v>0</v>
      </c>
      <c r="F193" s="92"/>
      <c r="G193" s="92"/>
      <c r="H193" s="92"/>
      <c r="I193" s="92"/>
    </row>
    <row r="194" spans="1:9" x14ac:dyDescent="0.25">
      <c r="A194" s="82">
        <v>3213</v>
      </c>
      <c r="B194" s="83"/>
      <c r="C194" s="84"/>
      <c r="D194" s="81" t="s">
        <v>63</v>
      </c>
      <c r="E194" s="92">
        <v>316.5</v>
      </c>
      <c r="F194" s="92">
        <v>225</v>
      </c>
      <c r="G194" s="92">
        <v>225</v>
      </c>
      <c r="H194" s="92">
        <v>225</v>
      </c>
      <c r="I194" s="92">
        <v>225</v>
      </c>
    </row>
    <row r="195" spans="1:9" ht="25.5" x14ac:dyDescent="0.25">
      <c r="A195" s="82">
        <v>3214</v>
      </c>
      <c r="B195" s="83"/>
      <c r="C195" s="84"/>
      <c r="D195" s="81" t="s">
        <v>64</v>
      </c>
      <c r="E195" s="92">
        <v>1154.32</v>
      </c>
      <c r="F195" s="92">
        <v>1200</v>
      </c>
      <c r="G195" s="92">
        <v>1200</v>
      </c>
      <c r="H195" s="92">
        <v>1200</v>
      </c>
      <c r="I195" s="92">
        <v>1200</v>
      </c>
    </row>
    <row r="196" spans="1:9" x14ac:dyDescent="0.25">
      <c r="A196" s="42">
        <v>322</v>
      </c>
      <c r="B196" s="43"/>
      <c r="C196" s="44"/>
      <c r="D196" s="45" t="s">
        <v>45</v>
      </c>
      <c r="E196" s="91">
        <f t="shared" ref="E196:I196" si="88">SUM(E197:E203)</f>
        <v>14782.24</v>
      </c>
      <c r="F196" s="91">
        <f t="shared" ref="F196" si="89">SUM(F197:F203)</f>
        <v>13373</v>
      </c>
      <c r="G196" s="91">
        <f t="shared" si="88"/>
        <v>13373</v>
      </c>
      <c r="H196" s="91">
        <f t="shared" si="88"/>
        <v>13373</v>
      </c>
      <c r="I196" s="91">
        <f t="shared" si="88"/>
        <v>13373</v>
      </c>
    </row>
    <row r="197" spans="1:9" ht="25.5" x14ac:dyDescent="0.25">
      <c r="A197" s="82">
        <v>3221</v>
      </c>
      <c r="B197" s="83"/>
      <c r="C197" s="84"/>
      <c r="D197" s="81" t="s">
        <v>65</v>
      </c>
      <c r="E197" s="92">
        <v>5044.2</v>
      </c>
      <c r="F197" s="92">
        <f>4775-670</f>
        <v>4105</v>
      </c>
      <c r="G197" s="92">
        <f t="shared" ref="G197:I197" si="90">4775-670</f>
        <v>4105</v>
      </c>
      <c r="H197" s="92">
        <f t="shared" si="90"/>
        <v>4105</v>
      </c>
      <c r="I197" s="92">
        <f t="shared" si="90"/>
        <v>4105</v>
      </c>
    </row>
    <row r="198" spans="1:9" x14ac:dyDescent="0.25">
      <c r="A198" s="82">
        <v>3222</v>
      </c>
      <c r="B198" s="83"/>
      <c r="C198" s="84"/>
      <c r="D198" s="81" t="s">
        <v>66</v>
      </c>
      <c r="E198" s="92">
        <v>0</v>
      </c>
      <c r="F198" s="92"/>
      <c r="G198" s="92"/>
      <c r="H198" s="92"/>
      <c r="I198" s="92"/>
    </row>
    <row r="199" spans="1:9" x14ac:dyDescent="0.25">
      <c r="A199" s="82">
        <v>3223</v>
      </c>
      <c r="B199" s="83"/>
      <c r="C199" s="84"/>
      <c r="D199" s="81" t="s">
        <v>67</v>
      </c>
      <c r="E199" s="92">
        <v>7119.96</v>
      </c>
      <c r="F199" s="92">
        <v>7500</v>
      </c>
      <c r="G199" s="92">
        <v>7500</v>
      </c>
      <c r="H199" s="92">
        <v>7500</v>
      </c>
      <c r="I199" s="92">
        <v>7500</v>
      </c>
    </row>
    <row r="200" spans="1:9" ht="25.5" x14ac:dyDescent="0.25">
      <c r="A200" s="82">
        <v>3224</v>
      </c>
      <c r="B200" s="83"/>
      <c r="C200" s="84"/>
      <c r="D200" s="81" t="s">
        <v>68</v>
      </c>
      <c r="E200" s="92">
        <v>1433.23</v>
      </c>
      <c r="F200" s="92">
        <v>1500</v>
      </c>
      <c r="G200" s="92">
        <v>1500</v>
      </c>
      <c r="H200" s="92">
        <v>1500</v>
      </c>
      <c r="I200" s="92">
        <v>1500</v>
      </c>
    </row>
    <row r="201" spans="1:9" x14ac:dyDescent="0.25">
      <c r="A201" s="82">
        <v>3225</v>
      </c>
      <c r="B201" s="83"/>
      <c r="C201" s="84"/>
      <c r="D201" s="81" t="s">
        <v>69</v>
      </c>
      <c r="E201" s="92">
        <v>918.09</v>
      </c>
      <c r="F201" s="92">
        <f>1906-1292-500</f>
        <v>114</v>
      </c>
      <c r="G201" s="92">
        <f t="shared" ref="G201:I201" si="91">1906-1292-500</f>
        <v>114</v>
      </c>
      <c r="H201" s="92">
        <f t="shared" si="91"/>
        <v>114</v>
      </c>
      <c r="I201" s="92">
        <f t="shared" si="91"/>
        <v>114</v>
      </c>
    </row>
    <row r="202" spans="1:9" ht="25.5" x14ac:dyDescent="0.25">
      <c r="A202" s="82">
        <v>3226</v>
      </c>
      <c r="B202" s="83"/>
      <c r="C202" s="84"/>
      <c r="D202" s="81" t="s">
        <v>70</v>
      </c>
      <c r="E202" s="92">
        <v>0</v>
      </c>
      <c r="F202" s="92"/>
      <c r="G202" s="92"/>
      <c r="H202" s="92"/>
      <c r="I202" s="92"/>
    </row>
    <row r="203" spans="1:9" ht="25.5" x14ac:dyDescent="0.25">
      <c r="A203" s="82">
        <v>3227</v>
      </c>
      <c r="B203" s="83"/>
      <c r="C203" s="84"/>
      <c r="D203" s="81" t="s">
        <v>71</v>
      </c>
      <c r="E203" s="92">
        <v>266.76</v>
      </c>
      <c r="F203" s="92">
        <v>154</v>
      </c>
      <c r="G203" s="92">
        <v>154</v>
      </c>
      <c r="H203" s="92">
        <v>154</v>
      </c>
      <c r="I203" s="92">
        <v>154</v>
      </c>
    </row>
    <row r="204" spans="1:9" x14ac:dyDescent="0.25">
      <c r="A204" s="42">
        <v>323</v>
      </c>
      <c r="B204" s="43"/>
      <c r="C204" s="44"/>
      <c r="D204" s="45" t="s">
        <v>46</v>
      </c>
      <c r="E204" s="91">
        <f t="shared" ref="E204:I204" si="92">SUM(E205:E213)</f>
        <v>13263.17</v>
      </c>
      <c r="F204" s="91">
        <f t="shared" ref="F204" si="93">SUM(F205:F213)</f>
        <v>11187</v>
      </c>
      <c r="G204" s="91">
        <f t="shared" si="92"/>
        <v>11187</v>
      </c>
      <c r="H204" s="91">
        <f t="shared" si="92"/>
        <v>11187</v>
      </c>
      <c r="I204" s="91">
        <f t="shared" si="92"/>
        <v>11187</v>
      </c>
    </row>
    <row r="205" spans="1:9" x14ac:dyDescent="0.25">
      <c r="A205" s="82">
        <v>3231</v>
      </c>
      <c r="B205" s="83"/>
      <c r="C205" s="84"/>
      <c r="D205" s="81" t="s">
        <v>72</v>
      </c>
      <c r="E205" s="92">
        <v>1929.76</v>
      </c>
      <c r="F205" s="92">
        <f>3700-1300</f>
        <v>2400</v>
      </c>
      <c r="G205" s="92">
        <f t="shared" ref="G205:I205" si="94">3700-1300</f>
        <v>2400</v>
      </c>
      <c r="H205" s="92">
        <f t="shared" si="94"/>
        <v>2400</v>
      </c>
      <c r="I205" s="92">
        <f t="shared" si="94"/>
        <v>2400</v>
      </c>
    </row>
    <row r="206" spans="1:9" ht="25.5" x14ac:dyDescent="0.25">
      <c r="A206" s="82">
        <v>3232</v>
      </c>
      <c r="B206" s="83"/>
      <c r="C206" s="84"/>
      <c r="D206" s="81" t="s">
        <v>73</v>
      </c>
      <c r="E206" s="92">
        <v>2921.74</v>
      </c>
      <c r="F206" s="92">
        <v>2180</v>
      </c>
      <c r="G206" s="92">
        <v>2180</v>
      </c>
      <c r="H206" s="92">
        <v>2180</v>
      </c>
      <c r="I206" s="92">
        <v>2180</v>
      </c>
    </row>
    <row r="207" spans="1:9" x14ac:dyDescent="0.25">
      <c r="A207" s="82">
        <v>3233</v>
      </c>
      <c r="B207" s="83"/>
      <c r="C207" s="84"/>
      <c r="D207" s="81" t="s">
        <v>74</v>
      </c>
      <c r="E207" s="92">
        <v>127.44</v>
      </c>
      <c r="F207" s="92">
        <v>128</v>
      </c>
      <c r="G207" s="92">
        <v>128</v>
      </c>
      <c r="H207" s="92">
        <v>128</v>
      </c>
      <c r="I207" s="92">
        <v>128</v>
      </c>
    </row>
    <row r="208" spans="1:9" x14ac:dyDescent="0.25">
      <c r="A208" s="82">
        <v>3234</v>
      </c>
      <c r="B208" s="83"/>
      <c r="C208" s="84"/>
      <c r="D208" s="81" t="s">
        <v>75</v>
      </c>
      <c r="E208" s="92">
        <v>3202.12</v>
      </c>
      <c r="F208" s="92">
        <v>2700</v>
      </c>
      <c r="G208" s="92">
        <v>2700</v>
      </c>
      <c r="H208" s="92">
        <v>2700</v>
      </c>
      <c r="I208" s="92">
        <v>2700</v>
      </c>
    </row>
    <row r="209" spans="1:9" x14ac:dyDescent="0.25">
      <c r="A209" s="82">
        <v>3235</v>
      </c>
      <c r="B209" s="83"/>
      <c r="C209" s="84"/>
      <c r="D209" s="81" t="s">
        <v>76</v>
      </c>
      <c r="E209" s="92">
        <v>0</v>
      </c>
      <c r="F209" s="92"/>
      <c r="G209" s="92"/>
      <c r="H209" s="92"/>
      <c r="I209" s="92"/>
    </row>
    <row r="210" spans="1:9" x14ac:dyDescent="0.25">
      <c r="A210" s="82">
        <v>3236</v>
      </c>
      <c r="B210" s="83"/>
      <c r="C210" s="84"/>
      <c r="D210" s="81" t="s">
        <v>77</v>
      </c>
      <c r="E210" s="92">
        <v>964.24</v>
      </c>
      <c r="F210" s="92">
        <f>2727-1000</f>
        <v>1727</v>
      </c>
      <c r="G210" s="92">
        <f t="shared" ref="G210:I210" si="95">2727-1000</f>
        <v>1727</v>
      </c>
      <c r="H210" s="92">
        <f t="shared" si="95"/>
        <v>1727</v>
      </c>
      <c r="I210" s="92">
        <f t="shared" si="95"/>
        <v>1727</v>
      </c>
    </row>
    <row r="211" spans="1:9" x14ac:dyDescent="0.25">
      <c r="A211" s="82">
        <v>3237</v>
      </c>
      <c r="B211" s="83"/>
      <c r="C211" s="84"/>
      <c r="D211" s="81" t="s">
        <v>78</v>
      </c>
      <c r="E211" s="92">
        <v>2937.5</v>
      </c>
      <c r="F211" s="92"/>
      <c r="G211" s="92"/>
      <c r="H211" s="92"/>
      <c r="I211" s="92"/>
    </row>
    <row r="212" spans="1:9" x14ac:dyDescent="0.25">
      <c r="A212" s="82">
        <v>3238</v>
      </c>
      <c r="B212" s="83"/>
      <c r="C212" s="84"/>
      <c r="D212" s="81" t="s">
        <v>79</v>
      </c>
      <c r="E212" s="92">
        <v>939.62</v>
      </c>
      <c r="F212" s="92">
        <v>1120</v>
      </c>
      <c r="G212" s="92">
        <v>1120</v>
      </c>
      <c r="H212" s="92">
        <v>1120</v>
      </c>
      <c r="I212" s="92">
        <v>1120</v>
      </c>
    </row>
    <row r="213" spans="1:9" x14ac:dyDescent="0.25">
      <c r="A213" s="82">
        <v>3239</v>
      </c>
      <c r="B213" s="83"/>
      <c r="C213" s="84"/>
      <c r="D213" s="81" t="s">
        <v>80</v>
      </c>
      <c r="E213" s="92">
        <v>240.75</v>
      </c>
      <c r="F213" s="92">
        <f>1332-300-100</f>
        <v>932</v>
      </c>
      <c r="G213" s="92">
        <f t="shared" ref="G213:I213" si="96">1332-300-100</f>
        <v>932</v>
      </c>
      <c r="H213" s="92">
        <f t="shared" si="96"/>
        <v>932</v>
      </c>
      <c r="I213" s="92">
        <f t="shared" si="96"/>
        <v>932</v>
      </c>
    </row>
    <row r="214" spans="1:9" ht="25.5" x14ac:dyDescent="0.25">
      <c r="A214" s="42">
        <v>324</v>
      </c>
      <c r="B214" s="43"/>
      <c r="C214" s="44"/>
      <c r="D214" s="45" t="s">
        <v>81</v>
      </c>
      <c r="E214" s="91"/>
      <c r="F214" s="91"/>
      <c r="G214" s="91"/>
      <c r="H214" s="91"/>
      <c r="I214" s="91"/>
    </row>
    <row r="215" spans="1:9" ht="25.5" x14ac:dyDescent="0.25">
      <c r="A215" s="82">
        <v>3241</v>
      </c>
      <c r="B215" s="83"/>
      <c r="C215" s="84"/>
      <c r="D215" s="81" t="s">
        <v>107</v>
      </c>
      <c r="E215" s="92"/>
      <c r="F215" s="92"/>
      <c r="G215" s="92"/>
      <c r="H215" s="92"/>
      <c r="I215" s="92"/>
    </row>
    <row r="216" spans="1:9" ht="25.5" x14ac:dyDescent="0.25">
      <c r="A216" s="42">
        <v>329</v>
      </c>
      <c r="B216" s="43"/>
      <c r="C216" s="44"/>
      <c r="D216" s="45" t="s">
        <v>82</v>
      </c>
      <c r="E216" s="91">
        <f t="shared" ref="E216:I216" si="97">SUM(E217:E223)</f>
        <v>428.49</v>
      </c>
      <c r="F216" s="91">
        <f t="shared" ref="F216" si="98">SUM(F217:F223)</f>
        <v>555</v>
      </c>
      <c r="G216" s="91">
        <f t="shared" si="97"/>
        <v>555</v>
      </c>
      <c r="H216" s="91">
        <f t="shared" si="97"/>
        <v>555</v>
      </c>
      <c r="I216" s="91">
        <f t="shared" si="97"/>
        <v>555</v>
      </c>
    </row>
    <row r="217" spans="1:9" ht="38.25" x14ac:dyDescent="0.25">
      <c r="A217" s="82">
        <v>3291</v>
      </c>
      <c r="B217" s="83"/>
      <c r="C217" s="84"/>
      <c r="D217" s="81" t="s">
        <v>83</v>
      </c>
      <c r="E217" s="92">
        <v>150</v>
      </c>
      <c r="F217" s="92"/>
      <c r="G217" s="92"/>
      <c r="H217" s="92"/>
      <c r="I217" s="92"/>
    </row>
    <row r="218" spans="1:9" x14ac:dyDescent="0.25">
      <c r="A218" s="82">
        <v>3292</v>
      </c>
      <c r="B218" s="83"/>
      <c r="C218" s="84"/>
      <c r="D218" s="81" t="s">
        <v>84</v>
      </c>
      <c r="E218" s="92"/>
      <c r="F218" s="92"/>
      <c r="G218" s="92"/>
      <c r="H218" s="92"/>
      <c r="I218" s="92"/>
    </row>
    <row r="219" spans="1:9" x14ac:dyDescent="0.25">
      <c r="A219" s="82">
        <v>3293</v>
      </c>
      <c r="B219" s="83"/>
      <c r="C219" s="84"/>
      <c r="D219" s="81" t="s">
        <v>85</v>
      </c>
      <c r="E219" s="92"/>
      <c r="F219" s="92"/>
      <c r="G219" s="92"/>
      <c r="H219" s="92"/>
      <c r="I219" s="92"/>
    </row>
    <row r="220" spans="1:9" x14ac:dyDescent="0.25">
      <c r="A220" s="82">
        <v>3294</v>
      </c>
      <c r="B220" s="83"/>
      <c r="C220" s="84"/>
      <c r="D220" s="81" t="s">
        <v>86</v>
      </c>
      <c r="E220" s="92">
        <v>176.36</v>
      </c>
      <c r="F220" s="92">
        <v>190</v>
      </c>
      <c r="G220" s="92">
        <v>190</v>
      </c>
      <c r="H220" s="92">
        <v>190</v>
      </c>
      <c r="I220" s="92">
        <v>190</v>
      </c>
    </row>
    <row r="221" spans="1:9" x14ac:dyDescent="0.25">
      <c r="A221" s="82">
        <v>3295</v>
      </c>
      <c r="B221" s="83"/>
      <c r="C221" s="84"/>
      <c r="D221" s="81" t="s">
        <v>87</v>
      </c>
      <c r="E221" s="92">
        <v>14.28</v>
      </c>
      <c r="F221" s="92"/>
      <c r="G221" s="92"/>
      <c r="H221" s="92"/>
      <c r="I221" s="92"/>
    </row>
    <row r="222" spans="1:9" x14ac:dyDescent="0.25">
      <c r="A222" s="82">
        <v>3296</v>
      </c>
      <c r="B222" s="83"/>
      <c r="C222" s="84"/>
      <c r="D222" s="81" t="s">
        <v>88</v>
      </c>
      <c r="E222" s="92"/>
      <c r="F222" s="92"/>
      <c r="G222" s="92"/>
      <c r="H222" s="92"/>
      <c r="I222" s="92"/>
    </row>
    <row r="223" spans="1:9" ht="25.5" x14ac:dyDescent="0.25">
      <c r="A223" s="82">
        <v>3299</v>
      </c>
      <c r="B223" s="83"/>
      <c r="C223" s="84"/>
      <c r="D223" s="81" t="s">
        <v>47</v>
      </c>
      <c r="E223" s="92">
        <v>87.85</v>
      </c>
      <c r="F223" s="92">
        <f>5500-5135</f>
        <v>365</v>
      </c>
      <c r="G223" s="92">
        <f t="shared" ref="G223:I223" si="99">5500-5135</f>
        <v>365</v>
      </c>
      <c r="H223" s="92">
        <f t="shared" si="99"/>
        <v>365</v>
      </c>
      <c r="I223" s="92">
        <f t="shared" si="99"/>
        <v>365</v>
      </c>
    </row>
    <row r="224" spans="1:9" x14ac:dyDescent="0.25">
      <c r="A224" s="87">
        <v>34</v>
      </c>
      <c r="B224" s="88"/>
      <c r="C224" s="89"/>
      <c r="D224" s="47" t="s">
        <v>48</v>
      </c>
      <c r="E224" s="90">
        <f t="shared" ref="E224:I224" si="100">SUM(E225)</f>
        <v>462.05</v>
      </c>
      <c r="F224" s="90">
        <f t="shared" si="100"/>
        <v>520</v>
      </c>
      <c r="G224" s="90">
        <f t="shared" si="100"/>
        <v>520</v>
      </c>
      <c r="H224" s="90">
        <f t="shared" si="100"/>
        <v>520</v>
      </c>
      <c r="I224" s="90">
        <f t="shared" si="100"/>
        <v>520</v>
      </c>
    </row>
    <row r="225" spans="1:13" x14ac:dyDescent="0.25">
      <c r="A225" s="42">
        <v>343</v>
      </c>
      <c r="B225" s="43"/>
      <c r="C225" s="44"/>
      <c r="D225" s="45" t="s">
        <v>49</v>
      </c>
      <c r="E225" s="91">
        <f t="shared" ref="E225:I225" si="101">SUM(E226:E227)</f>
        <v>462.05</v>
      </c>
      <c r="F225" s="91">
        <f t="shared" ref="F225" si="102">SUM(F226:F227)</f>
        <v>520</v>
      </c>
      <c r="G225" s="91">
        <f t="shared" si="101"/>
        <v>520</v>
      </c>
      <c r="H225" s="91">
        <f t="shared" si="101"/>
        <v>520</v>
      </c>
      <c r="I225" s="91">
        <f t="shared" si="101"/>
        <v>520</v>
      </c>
    </row>
    <row r="226" spans="1:13" ht="25.5" x14ac:dyDescent="0.25">
      <c r="A226" s="82">
        <v>3431</v>
      </c>
      <c r="B226" s="83"/>
      <c r="C226" s="84"/>
      <c r="D226" s="81" t="s">
        <v>89</v>
      </c>
      <c r="E226" s="92">
        <v>462.05</v>
      </c>
      <c r="F226" s="92">
        <v>520</v>
      </c>
      <c r="G226" s="92">
        <v>520</v>
      </c>
      <c r="H226" s="92">
        <v>520</v>
      </c>
      <c r="I226" s="92">
        <v>520</v>
      </c>
    </row>
    <row r="227" spans="1:13" x14ac:dyDescent="0.25">
      <c r="A227" s="82">
        <v>3433</v>
      </c>
      <c r="B227" s="83"/>
      <c r="C227" s="84"/>
      <c r="D227" s="81" t="s">
        <v>90</v>
      </c>
      <c r="E227" s="92"/>
      <c r="F227" s="92"/>
      <c r="G227" s="92"/>
      <c r="H227" s="92"/>
      <c r="I227" s="92"/>
    </row>
    <row r="228" spans="1:13" ht="38.25" x14ac:dyDescent="0.25">
      <c r="A228" s="87">
        <v>37</v>
      </c>
      <c r="B228" s="88"/>
      <c r="C228" s="89"/>
      <c r="D228" s="47" t="s">
        <v>50</v>
      </c>
      <c r="E228" s="90">
        <f t="shared" ref="E228:I228" si="103">SUM(E229)</f>
        <v>0</v>
      </c>
      <c r="F228" s="90">
        <f t="shared" si="103"/>
        <v>0</v>
      </c>
      <c r="G228" s="90">
        <f t="shared" si="103"/>
        <v>0</v>
      </c>
      <c r="H228" s="90">
        <f t="shared" si="103"/>
        <v>0</v>
      </c>
      <c r="I228" s="90">
        <f t="shared" si="103"/>
        <v>0</v>
      </c>
      <c r="M228" s="147"/>
    </row>
    <row r="229" spans="1:13" ht="25.5" x14ac:dyDescent="0.25">
      <c r="A229" s="42">
        <v>372</v>
      </c>
      <c r="B229" s="43"/>
      <c r="C229" s="44"/>
      <c r="D229" s="45" t="s">
        <v>51</v>
      </c>
      <c r="E229" s="91"/>
      <c r="F229" s="91"/>
      <c r="G229" s="91"/>
      <c r="H229" s="91"/>
      <c r="I229" s="91"/>
    </row>
    <row r="230" spans="1:13" ht="25.5" x14ac:dyDescent="0.25">
      <c r="A230" s="82">
        <v>3721</v>
      </c>
      <c r="B230" s="83"/>
      <c r="C230" s="84"/>
      <c r="D230" s="81" t="s">
        <v>91</v>
      </c>
      <c r="E230" s="92"/>
      <c r="F230" s="92"/>
      <c r="G230" s="92"/>
      <c r="H230" s="92"/>
      <c r="I230" s="92"/>
    </row>
    <row r="231" spans="1:13" ht="25.5" x14ac:dyDescent="0.25">
      <c r="A231" s="82">
        <v>3722</v>
      </c>
      <c r="B231" s="83"/>
      <c r="C231" s="84"/>
      <c r="D231" s="81" t="s">
        <v>92</v>
      </c>
      <c r="E231" s="92"/>
      <c r="F231" s="92"/>
      <c r="G231" s="92"/>
      <c r="H231" s="92"/>
      <c r="I231" s="92"/>
    </row>
    <row r="232" spans="1:13" ht="38.25" x14ac:dyDescent="0.25">
      <c r="A232" s="212">
        <v>4</v>
      </c>
      <c r="B232" s="213"/>
      <c r="C232" s="214"/>
      <c r="D232" s="209" t="s">
        <v>40</v>
      </c>
      <c r="E232" s="211">
        <f t="shared" ref="E232:I232" si="104">SUM(E233)</f>
        <v>3263.94</v>
      </c>
      <c r="F232" s="211">
        <f t="shared" si="104"/>
        <v>0</v>
      </c>
      <c r="G232" s="211">
        <f t="shared" si="104"/>
        <v>0</v>
      </c>
      <c r="H232" s="211">
        <f t="shared" si="104"/>
        <v>0</v>
      </c>
      <c r="I232" s="211">
        <f t="shared" si="104"/>
        <v>0</v>
      </c>
    </row>
    <row r="233" spans="1:13" ht="38.25" x14ac:dyDescent="0.25">
      <c r="A233" s="87">
        <v>42</v>
      </c>
      <c r="B233" s="88"/>
      <c r="C233" s="89"/>
      <c r="D233" s="47" t="s">
        <v>40</v>
      </c>
      <c r="E233" s="90">
        <f t="shared" ref="E233" si="105">SUM(E234+E241)</f>
        <v>3263.94</v>
      </c>
      <c r="F233" s="90">
        <f t="shared" ref="F233" si="106">SUM(F234+F241)</f>
        <v>0</v>
      </c>
      <c r="G233" s="90">
        <f t="shared" ref="G233" si="107">SUM(G234+G241)</f>
        <v>0</v>
      </c>
      <c r="H233" s="90">
        <f t="shared" ref="H233" si="108">SUM(H234+H241)</f>
        <v>0</v>
      </c>
      <c r="I233" s="90">
        <f>SUM(I234+I241)</f>
        <v>0</v>
      </c>
    </row>
    <row r="234" spans="1:13" x14ac:dyDescent="0.25">
      <c r="A234" s="42">
        <v>422</v>
      </c>
      <c r="B234" s="43"/>
      <c r="C234" s="44"/>
      <c r="D234" s="45" t="s">
        <v>52</v>
      </c>
      <c r="E234" s="91">
        <f t="shared" ref="E234:I234" si="109">SUM(E235:E240)</f>
        <v>3263.94</v>
      </c>
      <c r="F234" s="91">
        <f t="shared" ref="F234" si="110">SUM(F235:F240)</f>
        <v>0</v>
      </c>
      <c r="G234" s="91">
        <f t="shared" si="109"/>
        <v>0</v>
      </c>
      <c r="H234" s="91">
        <f t="shared" si="109"/>
        <v>0</v>
      </c>
      <c r="I234" s="91">
        <f t="shared" si="109"/>
        <v>0</v>
      </c>
    </row>
    <row r="235" spans="1:13" x14ac:dyDescent="0.25">
      <c r="A235" s="82">
        <v>4221</v>
      </c>
      <c r="B235" s="83"/>
      <c r="C235" s="84"/>
      <c r="D235" s="81" t="s">
        <v>93</v>
      </c>
      <c r="E235" s="92"/>
      <c r="F235" s="92"/>
      <c r="G235" s="92"/>
      <c r="H235" s="92"/>
      <c r="I235" s="92"/>
    </row>
    <row r="236" spans="1:13" x14ac:dyDescent="0.25">
      <c r="A236" s="82">
        <v>4222</v>
      </c>
      <c r="B236" s="83"/>
      <c r="C236" s="84"/>
      <c r="D236" s="81" t="s">
        <v>94</v>
      </c>
      <c r="E236" s="92"/>
      <c r="F236" s="92"/>
      <c r="G236" s="92"/>
      <c r="H236" s="92"/>
      <c r="I236" s="92"/>
    </row>
    <row r="237" spans="1:13" x14ac:dyDescent="0.25">
      <c r="A237" s="82">
        <v>4223</v>
      </c>
      <c r="B237" s="83"/>
      <c r="C237" s="84"/>
      <c r="D237" s="81" t="s">
        <v>95</v>
      </c>
      <c r="E237" s="92"/>
      <c r="F237" s="92"/>
      <c r="G237" s="92"/>
      <c r="H237" s="92"/>
      <c r="I237" s="92"/>
    </row>
    <row r="238" spans="1:13" x14ac:dyDescent="0.25">
      <c r="A238" s="82">
        <v>4225</v>
      </c>
      <c r="B238" s="83"/>
      <c r="C238" s="84"/>
      <c r="D238" s="81" t="s">
        <v>96</v>
      </c>
      <c r="E238" s="92"/>
      <c r="F238" s="92"/>
      <c r="G238" s="92"/>
      <c r="H238" s="92"/>
      <c r="I238" s="92"/>
    </row>
    <row r="239" spans="1:13" x14ac:dyDescent="0.25">
      <c r="A239" s="82">
        <v>4226</v>
      </c>
      <c r="B239" s="83"/>
      <c r="C239" s="84"/>
      <c r="D239" s="81" t="s">
        <v>97</v>
      </c>
      <c r="E239" s="92"/>
      <c r="F239" s="92"/>
      <c r="G239" s="92"/>
      <c r="H239" s="92"/>
      <c r="I239" s="92"/>
    </row>
    <row r="240" spans="1:13" ht="25.5" x14ac:dyDescent="0.25">
      <c r="A240" s="82">
        <v>4227</v>
      </c>
      <c r="B240" s="83"/>
      <c r="C240" s="84"/>
      <c r="D240" s="81" t="s">
        <v>98</v>
      </c>
      <c r="E240" s="92">
        <v>3263.94</v>
      </c>
      <c r="F240" s="92"/>
      <c r="G240" s="92"/>
      <c r="H240" s="92"/>
      <c r="I240" s="92"/>
    </row>
    <row r="241" spans="1:9" ht="25.5" x14ac:dyDescent="0.25">
      <c r="A241" s="42">
        <v>424</v>
      </c>
      <c r="B241" s="43"/>
      <c r="C241" s="44"/>
      <c r="D241" s="45" t="s">
        <v>53</v>
      </c>
      <c r="E241" s="91">
        <f t="shared" ref="E241:H241" si="111">SUM(E242)</f>
        <v>0</v>
      </c>
      <c r="F241" s="91">
        <f t="shared" si="111"/>
        <v>0</v>
      </c>
      <c r="G241" s="91">
        <f t="shared" si="111"/>
        <v>0</v>
      </c>
      <c r="H241" s="91">
        <f t="shared" si="111"/>
        <v>0</v>
      </c>
      <c r="I241" s="91">
        <v>0</v>
      </c>
    </row>
    <row r="242" spans="1:9" x14ac:dyDescent="0.25">
      <c r="A242" s="82">
        <v>4241</v>
      </c>
      <c r="B242" s="83"/>
      <c r="C242" s="84"/>
      <c r="D242" s="81" t="s">
        <v>99</v>
      </c>
      <c r="E242" s="92">
        <v>0</v>
      </c>
      <c r="F242" s="92"/>
      <c r="G242" s="92"/>
      <c r="H242" s="92"/>
      <c r="I242" s="92"/>
    </row>
    <row r="243" spans="1:9" x14ac:dyDescent="0.25">
      <c r="A243" s="82"/>
      <c r="B243" s="83"/>
      <c r="C243" s="84"/>
      <c r="D243" s="81"/>
      <c r="E243" s="92"/>
      <c r="F243" s="92"/>
      <c r="G243" s="92"/>
      <c r="H243" s="92"/>
      <c r="I243" s="92"/>
    </row>
    <row r="244" spans="1:9" x14ac:dyDescent="0.25">
      <c r="A244" s="82"/>
      <c r="B244" s="83"/>
      <c r="C244" s="84"/>
      <c r="D244" s="206" t="s">
        <v>100</v>
      </c>
      <c r="E244" s="207">
        <f t="shared" ref="E244" si="112">SUM(E179+E232)</f>
        <v>35444.560000000005</v>
      </c>
      <c r="F244" s="207">
        <f>SUM(F179+F232)</f>
        <v>28000</v>
      </c>
      <c r="G244" s="207">
        <f>SUM(G179+G232)</f>
        <v>28000</v>
      </c>
      <c r="H244" s="207">
        <f t="shared" ref="H244:I244" si="113">SUM(H179+H232)</f>
        <v>28000</v>
      </c>
      <c r="I244" s="207">
        <f t="shared" si="113"/>
        <v>28000</v>
      </c>
    </row>
    <row r="245" spans="1:9" x14ac:dyDescent="0.25">
      <c r="A245" s="82"/>
      <c r="B245" s="83"/>
      <c r="C245" s="84"/>
      <c r="D245" s="81"/>
      <c r="E245" s="92"/>
      <c r="F245" s="92"/>
      <c r="G245" s="92"/>
      <c r="H245" s="92"/>
      <c r="I245" s="92"/>
    </row>
    <row r="246" spans="1:9" ht="25.5" x14ac:dyDescent="0.25">
      <c r="A246" s="256" t="s">
        <v>26</v>
      </c>
      <c r="B246" s="257"/>
      <c r="C246" s="258"/>
      <c r="D246" s="19" t="s">
        <v>27</v>
      </c>
      <c r="E246" s="19" t="s">
        <v>182</v>
      </c>
      <c r="F246" s="20" t="s">
        <v>186</v>
      </c>
      <c r="G246" s="20" t="s">
        <v>183</v>
      </c>
      <c r="H246" s="20" t="s">
        <v>160</v>
      </c>
      <c r="I246" s="20" t="s">
        <v>184</v>
      </c>
    </row>
    <row r="247" spans="1:9" ht="15" customHeight="1" x14ac:dyDescent="0.25">
      <c r="A247" s="259" t="s">
        <v>101</v>
      </c>
      <c r="B247" s="260"/>
      <c r="C247" s="261"/>
      <c r="D247" s="85" t="s">
        <v>33</v>
      </c>
      <c r="E247" s="8"/>
      <c r="F247" s="8"/>
      <c r="G247" s="8"/>
      <c r="H247" s="8"/>
      <c r="I247" s="8"/>
    </row>
    <row r="248" spans="1:9" ht="25.5" customHeight="1" x14ac:dyDescent="0.25">
      <c r="A248" s="259" t="s">
        <v>188</v>
      </c>
      <c r="B248" s="260"/>
      <c r="C248" s="261"/>
      <c r="D248" s="85" t="s">
        <v>187</v>
      </c>
      <c r="E248" s="8"/>
      <c r="F248" s="8"/>
      <c r="G248" s="8"/>
      <c r="H248" s="8"/>
      <c r="I248" s="8"/>
    </row>
    <row r="249" spans="1:9" ht="15" customHeight="1" x14ac:dyDescent="0.25">
      <c r="A249" s="262">
        <v>51</v>
      </c>
      <c r="B249" s="263"/>
      <c r="C249" s="264"/>
      <c r="D249" s="86" t="s">
        <v>106</v>
      </c>
      <c r="E249" s="8"/>
      <c r="F249" s="8"/>
      <c r="G249" s="8"/>
      <c r="H249" s="8"/>
      <c r="I249" s="8"/>
    </row>
    <row r="250" spans="1:9" x14ac:dyDescent="0.25">
      <c r="A250" s="265">
        <v>3</v>
      </c>
      <c r="B250" s="266"/>
      <c r="C250" s="267"/>
      <c r="D250" s="209" t="s">
        <v>16</v>
      </c>
      <c r="E250" s="211">
        <f t="shared" ref="E250:I250" si="114">SUM(E251+E261)</f>
        <v>243.21</v>
      </c>
      <c r="F250" s="211">
        <f t="shared" ref="F250" si="115">SUM(F251+F261)</f>
        <v>0</v>
      </c>
      <c r="G250" s="211">
        <f t="shared" si="114"/>
        <v>18109.998</v>
      </c>
      <c r="H250" s="211">
        <f t="shared" si="114"/>
        <v>19999.999000000003</v>
      </c>
      <c r="I250" s="211">
        <f t="shared" si="114"/>
        <v>19999.999000000003</v>
      </c>
    </row>
    <row r="251" spans="1:9" x14ac:dyDescent="0.25">
      <c r="A251" s="253">
        <v>31</v>
      </c>
      <c r="B251" s="254"/>
      <c r="C251" s="255"/>
      <c r="D251" s="47" t="s">
        <v>17</v>
      </c>
      <c r="E251" s="90">
        <f t="shared" ref="E251:I251" si="116">SUM(E252+E256+E258)</f>
        <v>0</v>
      </c>
      <c r="F251" s="90">
        <f t="shared" ref="F251" si="117">SUM(F252+F256+F258)</f>
        <v>0</v>
      </c>
      <c r="G251" s="90">
        <f t="shared" si="116"/>
        <v>17999.998</v>
      </c>
      <c r="H251" s="90">
        <f t="shared" si="116"/>
        <v>19559.999000000003</v>
      </c>
      <c r="I251" s="90">
        <f t="shared" si="116"/>
        <v>19559.999000000003</v>
      </c>
    </row>
    <row r="252" spans="1:9" ht="15" customHeight="1" x14ac:dyDescent="0.25">
      <c r="A252" s="42">
        <v>311</v>
      </c>
      <c r="B252" s="43"/>
      <c r="C252" s="44"/>
      <c r="D252" s="45" t="s">
        <v>42</v>
      </c>
      <c r="E252" s="91">
        <f t="shared" ref="E252:I252" si="118">SUM(E253:E255)</f>
        <v>0</v>
      </c>
      <c r="F252" s="91">
        <f t="shared" ref="F252" si="119">SUM(F253:F255)</f>
        <v>0</v>
      </c>
      <c r="G252" s="91">
        <f t="shared" si="118"/>
        <v>14678.11</v>
      </c>
      <c r="H252" s="91">
        <f t="shared" si="118"/>
        <v>15931.33</v>
      </c>
      <c r="I252" s="91">
        <f t="shared" si="118"/>
        <v>15931.33</v>
      </c>
    </row>
    <row r="253" spans="1:9" x14ac:dyDescent="0.25">
      <c r="A253" s="82">
        <v>3111</v>
      </c>
      <c r="B253" s="83"/>
      <c r="C253" s="84"/>
      <c r="D253" s="81" t="s">
        <v>54</v>
      </c>
      <c r="E253" s="92"/>
      <c r="F253" s="92"/>
      <c r="G253" s="92">
        <v>14678.11</v>
      </c>
      <c r="H253" s="92">
        <v>15931.33</v>
      </c>
      <c r="I253" s="92">
        <v>15931.33</v>
      </c>
    </row>
    <row r="254" spans="1:9" x14ac:dyDescent="0.25">
      <c r="A254" s="82">
        <v>3113</v>
      </c>
      <c r="B254" s="83"/>
      <c r="C254" s="84"/>
      <c r="D254" s="81" t="s">
        <v>55</v>
      </c>
      <c r="E254" s="92"/>
      <c r="F254" s="92"/>
      <c r="G254" s="92"/>
      <c r="H254" s="92"/>
      <c r="I254" s="92"/>
    </row>
    <row r="255" spans="1:9" x14ac:dyDescent="0.25">
      <c r="A255" s="82">
        <v>3114</v>
      </c>
      <c r="B255" s="83"/>
      <c r="C255" s="84"/>
      <c r="D255" s="81" t="s">
        <v>56</v>
      </c>
      <c r="E255" s="92"/>
      <c r="F255" s="92"/>
      <c r="G255" s="92"/>
      <c r="H255" s="92"/>
      <c r="I255" s="92"/>
    </row>
    <row r="256" spans="1:9" x14ac:dyDescent="0.25">
      <c r="A256" s="42">
        <v>312</v>
      </c>
      <c r="B256" s="43"/>
      <c r="C256" s="44"/>
      <c r="D256" s="45" t="s">
        <v>57</v>
      </c>
      <c r="E256" s="91">
        <f t="shared" ref="E256:I256" si="120">SUM(E257)</f>
        <v>0</v>
      </c>
      <c r="F256" s="91">
        <f t="shared" si="120"/>
        <v>0</v>
      </c>
      <c r="G256" s="91">
        <f t="shared" si="120"/>
        <v>900</v>
      </c>
      <c r="H256" s="91">
        <f t="shared" si="120"/>
        <v>1000</v>
      </c>
      <c r="I256" s="91">
        <f t="shared" si="120"/>
        <v>1000</v>
      </c>
    </row>
    <row r="257" spans="1:9" x14ac:dyDescent="0.25">
      <c r="A257" s="82">
        <v>3121</v>
      </c>
      <c r="B257" s="83"/>
      <c r="C257" s="84"/>
      <c r="D257" s="81" t="s">
        <v>58</v>
      </c>
      <c r="E257" s="92"/>
      <c r="F257" s="92"/>
      <c r="G257" s="92">
        <v>900</v>
      </c>
      <c r="H257" s="92">
        <v>1000</v>
      </c>
      <c r="I257" s="92">
        <v>1000</v>
      </c>
    </row>
    <row r="258" spans="1:9" x14ac:dyDescent="0.25">
      <c r="A258" s="42">
        <v>313</v>
      </c>
      <c r="B258" s="43"/>
      <c r="C258" s="44"/>
      <c r="D258" s="45" t="s">
        <v>43</v>
      </c>
      <c r="E258" s="91">
        <f>SUM(E259:E260)</f>
        <v>0</v>
      </c>
      <c r="F258" s="91">
        <f t="shared" ref="F258" si="121">SUM(F259:F260)</f>
        <v>0</v>
      </c>
      <c r="G258" s="91">
        <f t="shared" ref="G258" si="122">SUM(G259:G260)</f>
        <v>2421.8879999999999</v>
      </c>
      <c r="H258" s="91">
        <f t="shared" ref="H258" si="123">SUM(H259:H260)</f>
        <v>2628.6689999999999</v>
      </c>
      <c r="I258" s="91">
        <f t="shared" ref="I258" si="124">SUM(I259:I260)</f>
        <v>2628.6689999999999</v>
      </c>
    </row>
    <row r="259" spans="1:9" x14ac:dyDescent="0.25">
      <c r="A259" s="82">
        <v>3131</v>
      </c>
      <c r="B259" s="83"/>
      <c r="C259" s="84"/>
      <c r="D259" s="81" t="s">
        <v>59</v>
      </c>
      <c r="E259" s="92"/>
      <c r="F259" s="92"/>
      <c r="G259" s="92"/>
      <c r="H259" s="92"/>
      <c r="I259" s="92"/>
    </row>
    <row r="260" spans="1:9" ht="25.5" x14ac:dyDescent="0.25">
      <c r="A260" s="82">
        <v>3132</v>
      </c>
      <c r="B260" s="83"/>
      <c r="C260" s="84"/>
      <c r="D260" s="81" t="s">
        <v>60</v>
      </c>
      <c r="E260" s="92"/>
      <c r="F260" s="92"/>
      <c r="G260" s="92">
        <v>2421.8879999999999</v>
      </c>
      <c r="H260" s="92">
        <v>2628.6689999999999</v>
      </c>
      <c r="I260" s="92">
        <v>2628.6689999999999</v>
      </c>
    </row>
    <row r="261" spans="1:9" x14ac:dyDescent="0.25">
      <c r="A261" s="253">
        <v>32</v>
      </c>
      <c r="B261" s="254"/>
      <c r="C261" s="255"/>
      <c r="D261" s="47" t="s">
        <v>28</v>
      </c>
      <c r="E261" s="90">
        <f t="shared" ref="E261:I261" si="125">SUM(E262+E267+E275)</f>
        <v>243.21</v>
      </c>
      <c r="F261" s="90">
        <f t="shared" ref="F261" si="126">SUM(F262+F267+F275)</f>
        <v>0</v>
      </c>
      <c r="G261" s="90">
        <f t="shared" si="125"/>
        <v>110</v>
      </c>
      <c r="H261" s="90">
        <f t="shared" si="125"/>
        <v>440</v>
      </c>
      <c r="I261" s="90">
        <f t="shared" si="125"/>
        <v>440</v>
      </c>
    </row>
    <row r="262" spans="1:9" x14ac:dyDescent="0.25">
      <c r="A262" s="42">
        <v>321</v>
      </c>
      <c r="B262" s="43"/>
      <c r="C262" s="44"/>
      <c r="D262" s="45" t="s">
        <v>44</v>
      </c>
      <c r="E262" s="91">
        <f t="shared" ref="E262:I262" si="127">SUM(E263:E266)</f>
        <v>0</v>
      </c>
      <c r="F262" s="91">
        <f t="shared" ref="F262" si="128">SUM(F263:F266)</f>
        <v>0</v>
      </c>
      <c r="G262" s="91">
        <f t="shared" si="127"/>
        <v>110</v>
      </c>
      <c r="H262" s="91">
        <f t="shared" si="127"/>
        <v>440</v>
      </c>
      <c r="I262" s="91">
        <f t="shared" si="127"/>
        <v>440</v>
      </c>
    </row>
    <row r="263" spans="1:9" x14ac:dyDescent="0.25">
      <c r="A263" s="82">
        <v>3211</v>
      </c>
      <c r="B263" s="83"/>
      <c r="C263" s="84"/>
      <c r="D263" s="81" t="s">
        <v>61</v>
      </c>
      <c r="E263" s="92"/>
      <c r="F263" s="92"/>
      <c r="G263" s="92"/>
      <c r="H263" s="92"/>
      <c r="I263" s="92"/>
    </row>
    <row r="264" spans="1:9" ht="25.5" x14ac:dyDescent="0.25">
      <c r="A264" s="82">
        <v>3212</v>
      </c>
      <c r="B264" s="83"/>
      <c r="C264" s="84"/>
      <c r="D264" s="81" t="s">
        <v>130</v>
      </c>
      <c r="E264" s="92"/>
      <c r="F264" s="92"/>
      <c r="G264" s="92">
        <v>110</v>
      </c>
      <c r="H264" s="92">
        <v>440</v>
      </c>
      <c r="I264" s="92">
        <v>440</v>
      </c>
    </row>
    <row r="265" spans="1:9" x14ac:dyDescent="0.25">
      <c r="A265" s="82">
        <v>3213</v>
      </c>
      <c r="B265" s="83"/>
      <c r="C265" s="84"/>
      <c r="D265" s="81" t="s">
        <v>63</v>
      </c>
      <c r="E265" s="92"/>
      <c r="F265" s="92"/>
      <c r="G265" s="92"/>
      <c r="H265" s="92"/>
      <c r="I265" s="92"/>
    </row>
    <row r="266" spans="1:9" ht="25.5" x14ac:dyDescent="0.25">
      <c r="A266" s="82">
        <v>3214</v>
      </c>
      <c r="B266" s="83"/>
      <c r="C266" s="84"/>
      <c r="D266" s="81" t="s">
        <v>64</v>
      </c>
      <c r="E266" s="92"/>
      <c r="F266" s="92"/>
      <c r="G266" s="92"/>
      <c r="H266" s="92"/>
      <c r="I266" s="92"/>
    </row>
    <row r="267" spans="1:9" x14ac:dyDescent="0.25">
      <c r="A267" s="42">
        <v>322</v>
      </c>
      <c r="B267" s="43"/>
      <c r="C267" s="44"/>
      <c r="D267" s="45" t="s">
        <v>45</v>
      </c>
      <c r="E267" s="91">
        <f t="shared" ref="E267:I267" si="129">SUM(E268:E274)</f>
        <v>0</v>
      </c>
      <c r="F267" s="91">
        <f t="shared" ref="F267" si="130">SUM(F268:F274)</f>
        <v>0</v>
      </c>
      <c r="G267" s="91">
        <f t="shared" si="129"/>
        <v>0</v>
      </c>
      <c r="H267" s="91">
        <f t="shared" si="129"/>
        <v>0</v>
      </c>
      <c r="I267" s="91">
        <f t="shared" si="129"/>
        <v>0</v>
      </c>
    </row>
    <row r="268" spans="1:9" ht="25.5" x14ac:dyDescent="0.25">
      <c r="A268" s="82">
        <v>3221</v>
      </c>
      <c r="B268" s="83"/>
      <c r="C268" s="84"/>
      <c r="D268" s="81" t="s">
        <v>65</v>
      </c>
      <c r="E268" s="92"/>
      <c r="F268" s="92"/>
      <c r="G268" s="92"/>
      <c r="H268" s="92"/>
      <c r="I268" s="92"/>
    </row>
    <row r="269" spans="1:9" x14ac:dyDescent="0.25">
      <c r="A269" s="82">
        <v>3222</v>
      </c>
      <c r="B269" s="83"/>
      <c r="C269" s="84"/>
      <c r="D269" s="81" t="s">
        <v>66</v>
      </c>
      <c r="E269" s="92"/>
      <c r="F269" s="92"/>
      <c r="G269" s="92"/>
      <c r="H269" s="92"/>
      <c r="I269" s="92"/>
    </row>
    <row r="270" spans="1:9" x14ac:dyDescent="0.25">
      <c r="A270" s="82">
        <v>3223</v>
      </c>
      <c r="B270" s="83"/>
      <c r="C270" s="84"/>
      <c r="D270" s="81" t="s">
        <v>67</v>
      </c>
      <c r="E270" s="92"/>
      <c r="F270" s="92"/>
      <c r="G270" s="92"/>
      <c r="H270" s="92"/>
      <c r="I270" s="92"/>
    </row>
    <row r="271" spans="1:9" ht="25.5" x14ac:dyDescent="0.25">
      <c r="A271" s="82">
        <v>3224</v>
      </c>
      <c r="B271" s="83"/>
      <c r="C271" s="84"/>
      <c r="D271" s="81" t="s">
        <v>68</v>
      </c>
      <c r="E271" s="92"/>
      <c r="F271" s="92"/>
      <c r="G271" s="92"/>
      <c r="H271" s="92"/>
      <c r="I271" s="92"/>
    </row>
    <row r="272" spans="1:9" x14ac:dyDescent="0.25">
      <c r="A272" s="82">
        <v>3225</v>
      </c>
      <c r="B272" s="83"/>
      <c r="C272" s="84"/>
      <c r="D272" s="81" t="s">
        <v>69</v>
      </c>
      <c r="E272" s="92"/>
      <c r="F272" s="92"/>
      <c r="G272" s="92"/>
      <c r="H272" s="92"/>
      <c r="I272" s="92"/>
    </row>
    <row r="273" spans="1:9" ht="25.5" x14ac:dyDescent="0.25">
      <c r="A273" s="82">
        <v>3226</v>
      </c>
      <c r="B273" s="83"/>
      <c r="C273" s="84"/>
      <c r="D273" s="81" t="s">
        <v>70</v>
      </c>
      <c r="E273" s="92"/>
      <c r="F273" s="92"/>
      <c r="G273" s="92"/>
      <c r="H273" s="92"/>
      <c r="I273" s="92"/>
    </row>
    <row r="274" spans="1:9" ht="25.5" x14ac:dyDescent="0.25">
      <c r="A274" s="82">
        <v>3227</v>
      </c>
      <c r="B274" s="83"/>
      <c r="C274" s="84"/>
      <c r="D274" s="81" t="s">
        <v>71</v>
      </c>
      <c r="E274" s="92"/>
      <c r="F274" s="92"/>
      <c r="G274" s="92"/>
      <c r="H274" s="92"/>
      <c r="I274" s="92"/>
    </row>
    <row r="275" spans="1:9" x14ac:dyDescent="0.25">
      <c r="A275" s="42">
        <v>323</v>
      </c>
      <c r="B275" s="43"/>
      <c r="C275" s="44"/>
      <c r="D275" s="45" t="s">
        <v>46</v>
      </c>
      <c r="E275" s="91">
        <f t="shared" ref="E275:I275" si="131">SUM(E276:E284)</f>
        <v>243.21</v>
      </c>
      <c r="F275" s="91">
        <f t="shared" ref="F275" si="132">SUM(F276:F284)</f>
        <v>0</v>
      </c>
      <c r="G275" s="91">
        <f t="shared" si="131"/>
        <v>0</v>
      </c>
      <c r="H275" s="91">
        <f t="shared" si="131"/>
        <v>0</v>
      </c>
      <c r="I275" s="91">
        <f t="shared" si="131"/>
        <v>0</v>
      </c>
    </row>
    <row r="276" spans="1:9" x14ac:dyDescent="0.25">
      <c r="A276" s="82">
        <v>3231</v>
      </c>
      <c r="B276" s="83"/>
      <c r="C276" s="84"/>
      <c r="D276" s="81" t="s">
        <v>72</v>
      </c>
      <c r="E276" s="92"/>
      <c r="F276" s="92"/>
      <c r="G276" s="92"/>
      <c r="H276" s="92"/>
      <c r="I276" s="92"/>
    </row>
    <row r="277" spans="1:9" ht="25.5" x14ac:dyDescent="0.25">
      <c r="A277" s="82">
        <v>3232</v>
      </c>
      <c r="B277" s="83"/>
      <c r="C277" s="84"/>
      <c r="D277" s="81" t="s">
        <v>73</v>
      </c>
      <c r="E277" s="92"/>
      <c r="F277" s="92"/>
      <c r="G277" s="92"/>
      <c r="H277" s="92"/>
      <c r="I277" s="92"/>
    </row>
    <row r="278" spans="1:9" x14ac:dyDescent="0.25">
      <c r="A278" s="82">
        <v>3233</v>
      </c>
      <c r="B278" s="83"/>
      <c r="C278" s="84"/>
      <c r="D278" s="81" t="s">
        <v>74</v>
      </c>
      <c r="E278" s="92"/>
      <c r="F278" s="92"/>
      <c r="G278" s="92"/>
      <c r="H278" s="92"/>
      <c r="I278" s="92"/>
    </row>
    <row r="279" spans="1:9" x14ac:dyDescent="0.25">
      <c r="A279" s="82">
        <v>3234</v>
      </c>
      <c r="B279" s="83"/>
      <c r="C279" s="84"/>
      <c r="D279" s="81" t="s">
        <v>75</v>
      </c>
      <c r="E279" s="92"/>
      <c r="F279" s="92"/>
      <c r="G279" s="92"/>
      <c r="H279" s="92"/>
      <c r="I279" s="92"/>
    </row>
    <row r="280" spans="1:9" x14ac:dyDescent="0.25">
      <c r="A280" s="82">
        <v>3235</v>
      </c>
      <c r="B280" s="83"/>
      <c r="C280" s="84"/>
      <c r="D280" s="81" t="s">
        <v>76</v>
      </c>
      <c r="E280" s="92"/>
      <c r="F280" s="92"/>
      <c r="G280" s="92"/>
      <c r="H280" s="92"/>
      <c r="I280" s="92"/>
    </row>
    <row r="281" spans="1:9" x14ac:dyDescent="0.25">
      <c r="A281" s="82">
        <v>3236</v>
      </c>
      <c r="B281" s="83"/>
      <c r="C281" s="84"/>
      <c r="D281" s="81" t="s">
        <v>77</v>
      </c>
      <c r="E281" s="92"/>
      <c r="F281" s="92"/>
      <c r="G281" s="92"/>
      <c r="H281" s="92"/>
      <c r="I281" s="92"/>
    </row>
    <row r="282" spans="1:9" x14ac:dyDescent="0.25">
      <c r="A282" s="82">
        <v>3237</v>
      </c>
      <c r="B282" s="83"/>
      <c r="C282" s="84"/>
      <c r="D282" s="81" t="s">
        <v>78</v>
      </c>
      <c r="E282" s="92"/>
      <c r="F282" s="92"/>
      <c r="G282" s="92"/>
      <c r="H282" s="92"/>
      <c r="I282" s="92"/>
    </row>
    <row r="283" spans="1:9" x14ac:dyDescent="0.25">
      <c r="A283" s="82">
        <v>3238</v>
      </c>
      <c r="B283" s="83"/>
      <c r="C283" s="84"/>
      <c r="D283" s="81" t="s">
        <v>79</v>
      </c>
      <c r="E283" s="92"/>
      <c r="F283" s="92"/>
      <c r="G283" s="92"/>
      <c r="H283" s="92"/>
      <c r="I283" s="92"/>
    </row>
    <row r="284" spans="1:9" x14ac:dyDescent="0.25">
      <c r="A284" s="82">
        <v>3239</v>
      </c>
      <c r="B284" s="83"/>
      <c r="C284" s="84"/>
      <c r="D284" s="81" t="s">
        <v>80</v>
      </c>
      <c r="E284" s="92">
        <v>243.21</v>
      </c>
      <c r="F284" s="92"/>
      <c r="G284" s="92"/>
      <c r="H284" s="92"/>
      <c r="I284" s="92"/>
    </row>
    <row r="285" spans="1:9" x14ac:dyDescent="0.25">
      <c r="A285" s="82"/>
      <c r="B285" s="83"/>
      <c r="C285" s="84"/>
      <c r="D285" s="206" t="s">
        <v>100</v>
      </c>
      <c r="E285" s="207">
        <f t="shared" ref="E285:I285" si="133">SUM(E250)</f>
        <v>243.21</v>
      </c>
      <c r="F285" s="207">
        <f t="shared" ref="F285" si="134">SUM(F250)</f>
        <v>0</v>
      </c>
      <c r="G285" s="207">
        <f t="shared" si="133"/>
        <v>18109.998</v>
      </c>
      <c r="H285" s="207">
        <f t="shared" si="133"/>
        <v>19999.999000000003</v>
      </c>
      <c r="I285" s="207">
        <f t="shared" si="133"/>
        <v>19999.999000000003</v>
      </c>
    </row>
    <row r="286" spans="1:9" x14ac:dyDescent="0.25">
      <c r="A286" s="82"/>
      <c r="B286" s="83"/>
      <c r="C286" s="84"/>
      <c r="D286" s="81"/>
      <c r="E286" s="8"/>
      <c r="F286" s="8"/>
      <c r="G286" s="8"/>
      <c r="H286" s="8"/>
      <c r="I286" s="8"/>
    </row>
    <row r="287" spans="1:9" x14ac:dyDescent="0.25">
      <c r="A287" s="82"/>
      <c r="B287" s="83"/>
      <c r="C287" s="84"/>
      <c r="D287" s="81"/>
      <c r="E287" s="8"/>
      <c r="F287" s="8"/>
      <c r="G287" s="8"/>
      <c r="H287" s="8"/>
      <c r="I287" s="8"/>
    </row>
    <row r="288" spans="1:9" ht="25.5" x14ac:dyDescent="0.25">
      <c r="A288" s="256" t="s">
        <v>26</v>
      </c>
      <c r="B288" s="257"/>
      <c r="C288" s="258"/>
      <c r="D288" s="19" t="s">
        <v>27</v>
      </c>
      <c r="E288" s="19" t="s">
        <v>182</v>
      </c>
      <c r="F288" s="20" t="s">
        <v>186</v>
      </c>
      <c r="G288" s="20" t="s">
        <v>183</v>
      </c>
      <c r="H288" s="20" t="s">
        <v>160</v>
      </c>
      <c r="I288" s="20" t="s">
        <v>184</v>
      </c>
    </row>
    <row r="289" spans="1:9" ht="15" customHeight="1" x14ac:dyDescent="0.25">
      <c r="A289" s="259" t="s">
        <v>101</v>
      </c>
      <c r="B289" s="260"/>
      <c r="C289" s="261"/>
      <c r="D289" s="85" t="s">
        <v>33</v>
      </c>
      <c r="E289" s="8"/>
      <c r="F289" s="8"/>
      <c r="G289" s="8"/>
      <c r="H289" s="8"/>
      <c r="I289" s="8"/>
    </row>
    <row r="290" spans="1:9" ht="25.5" customHeight="1" x14ac:dyDescent="0.25">
      <c r="A290" s="259" t="s">
        <v>131</v>
      </c>
      <c r="B290" s="260"/>
      <c r="C290" s="261"/>
      <c r="D290" s="95" t="s">
        <v>136</v>
      </c>
      <c r="E290" s="8"/>
      <c r="F290" s="8"/>
      <c r="G290" s="8"/>
      <c r="H290" s="8"/>
      <c r="I290" s="8"/>
    </row>
    <row r="291" spans="1:9" ht="15" customHeight="1" x14ac:dyDescent="0.25">
      <c r="A291" s="262">
        <v>52</v>
      </c>
      <c r="B291" s="263"/>
      <c r="C291" s="264"/>
      <c r="D291" s="86" t="s">
        <v>37</v>
      </c>
      <c r="E291" s="8"/>
      <c r="F291" s="8"/>
      <c r="G291" s="8"/>
      <c r="H291" s="8"/>
      <c r="I291" s="8"/>
    </row>
    <row r="292" spans="1:9" x14ac:dyDescent="0.25">
      <c r="A292" s="265">
        <v>3</v>
      </c>
      <c r="B292" s="266"/>
      <c r="C292" s="267"/>
      <c r="D292" s="209" t="s">
        <v>16</v>
      </c>
      <c r="E292" s="211">
        <f t="shared" ref="E292:I292" si="135">SUM(E293+E303+E336+E340)</f>
        <v>568680.40999999992</v>
      </c>
      <c r="F292" s="211">
        <f>SUM(F293+F303+F336+F340)</f>
        <v>559000</v>
      </c>
      <c r="G292" s="211">
        <f>SUM(G293+G303+G336+G340)</f>
        <v>790799.99799999991</v>
      </c>
      <c r="H292" s="211">
        <f t="shared" si="135"/>
        <v>815085.00399999996</v>
      </c>
      <c r="I292" s="211">
        <f t="shared" si="135"/>
        <v>821085.00399999996</v>
      </c>
    </row>
    <row r="293" spans="1:9" x14ac:dyDescent="0.25">
      <c r="A293" s="253">
        <v>31</v>
      </c>
      <c r="B293" s="254"/>
      <c r="C293" s="255"/>
      <c r="D293" s="47" t="s">
        <v>17</v>
      </c>
      <c r="E293" s="90">
        <f t="shared" ref="E293:I293" si="136">SUM(E294+E298+E300)</f>
        <v>522421.38</v>
      </c>
      <c r="F293" s="90">
        <f>SUM(F294+F298+F300)</f>
        <v>511208</v>
      </c>
      <c r="G293" s="90">
        <f>SUM(G294+G298+G300)</f>
        <v>741479.99799999991</v>
      </c>
      <c r="H293" s="90">
        <f t="shared" si="136"/>
        <v>764125.00399999996</v>
      </c>
      <c r="I293" s="90">
        <f t="shared" si="136"/>
        <v>770025.00399999996</v>
      </c>
    </row>
    <row r="294" spans="1:9" ht="15" customHeight="1" x14ac:dyDescent="0.25">
      <c r="A294" s="42">
        <v>311</v>
      </c>
      <c r="B294" s="43"/>
      <c r="C294" s="44"/>
      <c r="D294" s="45" t="s">
        <v>42</v>
      </c>
      <c r="E294" s="91">
        <f t="shared" ref="E294:I294" si="137">SUM(E295:E297)</f>
        <v>431113.08</v>
      </c>
      <c r="F294" s="91">
        <f t="shared" ref="F294" si="138">SUM(F295:F297)</f>
        <v>425708</v>
      </c>
      <c r="G294" s="91">
        <f t="shared" si="137"/>
        <v>618193.56799999985</v>
      </c>
      <c r="H294" s="91">
        <f t="shared" si="137"/>
        <v>637205.49399999995</v>
      </c>
      <c r="I294" s="91">
        <f t="shared" si="137"/>
        <v>642305.49399999995</v>
      </c>
    </row>
    <row r="295" spans="1:9" x14ac:dyDescent="0.25">
      <c r="A295" s="82">
        <v>3111</v>
      </c>
      <c r="B295" s="83"/>
      <c r="C295" s="84"/>
      <c r="D295" s="81" t="s">
        <v>54</v>
      </c>
      <c r="E295" s="92">
        <v>431113.08</v>
      </c>
      <c r="F295" s="92">
        <v>425708</v>
      </c>
      <c r="G295" s="92">
        <f>641515.45-G12-G253-G35-G365</f>
        <v>618193.56799999985</v>
      </c>
      <c r="H295" s="92">
        <f>660175.45-H35-H253</f>
        <v>637205.49399999995</v>
      </c>
      <c r="I295" s="92">
        <f>665275.45-I253-I35</f>
        <v>642305.49399999995</v>
      </c>
    </row>
    <row r="296" spans="1:9" x14ac:dyDescent="0.25">
      <c r="A296" s="82">
        <v>3113</v>
      </c>
      <c r="B296" s="83"/>
      <c r="C296" s="84"/>
      <c r="D296" s="81" t="s">
        <v>55</v>
      </c>
      <c r="E296" s="92"/>
      <c r="F296" s="92"/>
      <c r="G296" s="92"/>
      <c r="H296" s="92"/>
      <c r="I296" s="92"/>
    </row>
    <row r="297" spans="1:9" x14ac:dyDescent="0.25">
      <c r="A297" s="82">
        <v>3114</v>
      </c>
      <c r="B297" s="83"/>
      <c r="C297" s="84"/>
      <c r="D297" s="81" t="s">
        <v>56</v>
      </c>
      <c r="E297" s="92"/>
      <c r="F297" s="92"/>
      <c r="G297" s="92"/>
      <c r="H297" s="92"/>
      <c r="I297" s="92"/>
    </row>
    <row r="298" spans="1:9" x14ac:dyDescent="0.25">
      <c r="A298" s="42">
        <v>312</v>
      </c>
      <c r="B298" s="43"/>
      <c r="C298" s="44"/>
      <c r="D298" s="45" t="s">
        <v>57</v>
      </c>
      <c r="E298" s="91">
        <f>SUM(E299)</f>
        <v>20436.98</v>
      </c>
      <c r="F298" s="91">
        <f t="shared" ref="F298:I298" si="139">SUM(F299)</f>
        <v>15500</v>
      </c>
      <c r="G298" s="91">
        <f t="shared" si="139"/>
        <v>21500</v>
      </c>
      <c r="H298" s="91">
        <f t="shared" si="139"/>
        <v>22000</v>
      </c>
      <c r="I298" s="91">
        <f t="shared" si="139"/>
        <v>22000</v>
      </c>
    </row>
    <row r="299" spans="1:9" x14ac:dyDescent="0.25">
      <c r="A299" s="82">
        <v>3121</v>
      </c>
      <c r="B299" s="83"/>
      <c r="C299" s="84"/>
      <c r="D299" s="81" t="s">
        <v>58</v>
      </c>
      <c r="E299" s="92">
        <v>20436.98</v>
      </c>
      <c r="F299" s="92">
        <v>15500</v>
      </c>
      <c r="G299" s="92">
        <v>21500</v>
      </c>
      <c r="H299" s="92">
        <f>23700-1700</f>
        <v>22000</v>
      </c>
      <c r="I299" s="92">
        <f>23700-1700</f>
        <v>22000</v>
      </c>
    </row>
    <row r="300" spans="1:9" x14ac:dyDescent="0.25">
      <c r="A300" s="42">
        <v>313</v>
      </c>
      <c r="B300" s="43"/>
      <c r="C300" s="44"/>
      <c r="D300" s="45" t="s">
        <v>43</v>
      </c>
      <c r="E300" s="91">
        <f>SUM(E301:E302)</f>
        <v>70871.320000000007</v>
      </c>
      <c r="F300" s="91">
        <f t="shared" ref="F300" si="140">SUM(F301:F302)</f>
        <v>70000</v>
      </c>
      <c r="G300" s="91">
        <f t="shared" ref="G300" si="141">SUM(G301:G302)</f>
        <v>101786.43</v>
      </c>
      <c r="H300" s="91">
        <f t="shared" ref="H300" si="142">SUM(H301:H302)</f>
        <v>104919.51</v>
      </c>
      <c r="I300" s="91">
        <f t="shared" ref="I300" si="143">SUM(I301:I302)</f>
        <v>105719.51</v>
      </c>
    </row>
    <row r="301" spans="1:9" x14ac:dyDescent="0.25">
      <c r="A301" s="82">
        <v>3131</v>
      </c>
      <c r="B301" s="83"/>
      <c r="C301" s="84"/>
      <c r="D301" s="81" t="s">
        <v>59</v>
      </c>
      <c r="E301" s="92"/>
      <c r="F301" s="92"/>
      <c r="G301" s="92"/>
      <c r="H301" s="92"/>
      <c r="I301" s="92"/>
    </row>
    <row r="302" spans="1:9" ht="25.5" x14ac:dyDescent="0.25">
      <c r="A302" s="82">
        <v>3132</v>
      </c>
      <c r="B302" s="83"/>
      <c r="C302" s="84"/>
      <c r="D302" s="81" t="s">
        <v>60</v>
      </c>
      <c r="E302" s="92">
        <v>70871.320000000007</v>
      </c>
      <c r="F302" s="92">
        <v>70000</v>
      </c>
      <c r="G302" s="92">
        <v>101786.43</v>
      </c>
      <c r="H302" s="92">
        <v>104919.51</v>
      </c>
      <c r="I302" s="92">
        <v>105719.51</v>
      </c>
    </row>
    <row r="303" spans="1:9" x14ac:dyDescent="0.25">
      <c r="A303" s="253">
        <v>32</v>
      </c>
      <c r="B303" s="254"/>
      <c r="C303" s="255"/>
      <c r="D303" s="47" t="s">
        <v>28</v>
      </c>
      <c r="E303" s="90">
        <f t="shared" ref="E303:I303" si="144">SUM(E304+E309+E317+E327+E328)</f>
        <v>42884.070000000007</v>
      </c>
      <c r="F303" s="90">
        <f>SUM(F304+F309+F317+F327+F328)</f>
        <v>44292</v>
      </c>
      <c r="G303" s="90">
        <f>SUM(G304+G309+G317+G327+G328)</f>
        <v>43620</v>
      </c>
      <c r="H303" s="90">
        <f t="shared" si="144"/>
        <v>46760</v>
      </c>
      <c r="I303" s="90">
        <f t="shared" si="144"/>
        <v>46860</v>
      </c>
    </row>
    <row r="304" spans="1:9" x14ac:dyDescent="0.25">
      <c r="A304" s="42">
        <v>321</v>
      </c>
      <c r="B304" s="43"/>
      <c r="C304" s="44"/>
      <c r="D304" s="45" t="s">
        <v>44</v>
      </c>
      <c r="E304" s="91">
        <f t="shared" ref="E304:I304" si="145">SUM(E305:E308)</f>
        <v>17255.68</v>
      </c>
      <c r="F304" s="91">
        <f t="shared" ref="F304" si="146">SUM(F305:F308)</f>
        <v>17000</v>
      </c>
      <c r="G304" s="91">
        <f t="shared" si="145"/>
        <v>18500</v>
      </c>
      <c r="H304" s="91">
        <f t="shared" si="145"/>
        <v>18660</v>
      </c>
      <c r="I304" s="91">
        <f t="shared" si="145"/>
        <v>18660</v>
      </c>
    </row>
    <row r="305" spans="1:9" x14ac:dyDescent="0.25">
      <c r="A305" s="82">
        <v>3211</v>
      </c>
      <c r="B305" s="83"/>
      <c r="C305" s="84"/>
      <c r="D305" s="81" t="s">
        <v>61</v>
      </c>
      <c r="E305" s="92"/>
      <c r="F305" s="92"/>
      <c r="G305" s="92"/>
      <c r="H305" s="92">
        <v>160</v>
      </c>
      <c r="I305" s="92">
        <v>160</v>
      </c>
    </row>
    <row r="306" spans="1:9" ht="25.5" x14ac:dyDescent="0.25">
      <c r="A306" s="82">
        <v>3212</v>
      </c>
      <c r="B306" s="83"/>
      <c r="C306" s="84"/>
      <c r="D306" s="81" t="s">
        <v>130</v>
      </c>
      <c r="E306" s="92">
        <v>17255.68</v>
      </c>
      <c r="F306" s="92">
        <v>17000</v>
      </c>
      <c r="G306" s="92">
        <f>19040-540</f>
        <v>18500</v>
      </c>
      <c r="H306" s="92">
        <f t="shared" ref="H306:I306" si="147">19040-540</f>
        <v>18500</v>
      </c>
      <c r="I306" s="92">
        <f t="shared" si="147"/>
        <v>18500</v>
      </c>
    </row>
    <row r="307" spans="1:9" x14ac:dyDescent="0.25">
      <c r="A307" s="82">
        <v>3213</v>
      </c>
      <c r="B307" s="83"/>
      <c r="C307" s="84"/>
      <c r="D307" s="81" t="s">
        <v>63</v>
      </c>
      <c r="E307" s="92"/>
      <c r="F307" s="92"/>
      <c r="G307" s="92"/>
      <c r="H307" s="92"/>
      <c r="I307" s="92"/>
    </row>
    <row r="308" spans="1:9" ht="25.5" x14ac:dyDescent="0.25">
      <c r="A308" s="82">
        <v>3214</v>
      </c>
      <c r="B308" s="83"/>
      <c r="C308" s="84"/>
      <c r="D308" s="81" t="s">
        <v>64</v>
      </c>
      <c r="E308" s="92"/>
      <c r="F308" s="92"/>
      <c r="G308" s="92"/>
      <c r="H308" s="92"/>
      <c r="I308" s="92"/>
    </row>
    <row r="309" spans="1:9" x14ac:dyDescent="0.25">
      <c r="A309" s="42">
        <v>322</v>
      </c>
      <c r="B309" s="43"/>
      <c r="C309" s="44"/>
      <c r="D309" s="45" t="s">
        <v>45</v>
      </c>
      <c r="E309" s="91">
        <f t="shared" ref="E309:I309" si="148">SUM(E310:E316)</f>
        <v>23833.09</v>
      </c>
      <c r="F309" s="91">
        <f t="shared" ref="F309" si="149">SUM(F310:F316)</f>
        <v>25492</v>
      </c>
      <c r="G309" s="91">
        <f t="shared" si="148"/>
        <v>22820</v>
      </c>
      <c r="H309" s="91">
        <f t="shared" si="148"/>
        <v>23500</v>
      </c>
      <c r="I309" s="91">
        <f t="shared" si="148"/>
        <v>23500</v>
      </c>
    </row>
    <row r="310" spans="1:9" ht="25.5" x14ac:dyDescent="0.25">
      <c r="A310" s="82">
        <v>3221</v>
      </c>
      <c r="B310" s="83"/>
      <c r="C310" s="84"/>
      <c r="D310" s="81" t="s">
        <v>65</v>
      </c>
      <c r="E310" s="92">
        <v>244.46</v>
      </c>
      <c r="F310" s="92"/>
      <c r="G310" s="92"/>
      <c r="H310" s="92"/>
      <c r="I310" s="92"/>
    </row>
    <row r="311" spans="1:9" x14ac:dyDescent="0.25">
      <c r="A311" s="82">
        <v>3222</v>
      </c>
      <c r="B311" s="83"/>
      <c r="C311" s="84"/>
      <c r="D311" s="81" t="s">
        <v>66</v>
      </c>
      <c r="E311" s="92">
        <v>23588.63</v>
      </c>
      <c r="F311" s="92">
        <v>24200</v>
      </c>
      <c r="G311" s="92">
        <v>22000</v>
      </c>
      <c r="H311" s="92">
        <v>22000</v>
      </c>
      <c r="I311" s="92">
        <v>22000</v>
      </c>
    </row>
    <row r="312" spans="1:9" x14ac:dyDescent="0.25">
      <c r="A312" s="82">
        <v>3223</v>
      </c>
      <c r="B312" s="83"/>
      <c r="C312" s="84"/>
      <c r="D312" s="81" t="s">
        <v>67</v>
      </c>
      <c r="E312" s="92"/>
      <c r="F312" s="92"/>
      <c r="G312" s="92"/>
      <c r="H312" s="92"/>
      <c r="I312" s="92"/>
    </row>
    <row r="313" spans="1:9" ht="25.5" x14ac:dyDescent="0.25">
      <c r="A313" s="82">
        <v>3224</v>
      </c>
      <c r="B313" s="83"/>
      <c r="C313" s="84"/>
      <c r="D313" s="81" t="s">
        <v>68</v>
      </c>
      <c r="E313" s="92"/>
      <c r="F313" s="92"/>
      <c r="G313" s="92"/>
      <c r="H313" s="92"/>
      <c r="I313" s="92"/>
    </row>
    <row r="314" spans="1:9" x14ac:dyDescent="0.25">
      <c r="A314" s="82">
        <v>3225</v>
      </c>
      <c r="B314" s="83"/>
      <c r="C314" s="84"/>
      <c r="D314" s="81" t="s">
        <v>69</v>
      </c>
      <c r="E314" s="92"/>
      <c r="F314" s="92">
        <v>1292</v>
      </c>
      <c r="G314" s="92">
        <v>820</v>
      </c>
      <c r="H314" s="92">
        <v>1500</v>
      </c>
      <c r="I314" s="92">
        <v>1500</v>
      </c>
    </row>
    <row r="315" spans="1:9" ht="25.5" x14ac:dyDescent="0.25">
      <c r="A315" s="82">
        <v>3226</v>
      </c>
      <c r="B315" s="83"/>
      <c r="C315" s="84"/>
      <c r="D315" s="81" t="s">
        <v>70</v>
      </c>
      <c r="E315" s="92"/>
      <c r="F315" s="92"/>
      <c r="G315" s="92"/>
      <c r="H315" s="92"/>
      <c r="I315" s="92"/>
    </row>
    <row r="316" spans="1:9" ht="25.5" x14ac:dyDescent="0.25">
      <c r="A316" s="82">
        <v>3227</v>
      </c>
      <c r="B316" s="83"/>
      <c r="C316" s="84"/>
      <c r="D316" s="81" t="s">
        <v>71</v>
      </c>
      <c r="E316" s="92"/>
      <c r="F316" s="92"/>
      <c r="G316" s="92"/>
      <c r="H316" s="92"/>
      <c r="I316" s="92"/>
    </row>
    <row r="317" spans="1:9" x14ac:dyDescent="0.25">
      <c r="A317" s="42">
        <v>323</v>
      </c>
      <c r="B317" s="43"/>
      <c r="C317" s="44"/>
      <c r="D317" s="45" t="s">
        <v>46</v>
      </c>
      <c r="E317" s="91">
        <f t="shared" ref="E317:I317" si="150">SUM(E318:E326)</f>
        <v>130.87</v>
      </c>
      <c r="F317" s="91">
        <f t="shared" ref="F317" si="151">SUM(F318:F326)</f>
        <v>0</v>
      </c>
      <c r="G317" s="91">
        <f t="shared" si="150"/>
        <v>0</v>
      </c>
      <c r="H317" s="91">
        <f t="shared" si="150"/>
        <v>0</v>
      </c>
      <c r="I317" s="91">
        <f t="shared" si="150"/>
        <v>0</v>
      </c>
    </row>
    <row r="318" spans="1:9" x14ac:dyDescent="0.25">
      <c r="A318" s="82">
        <v>3231</v>
      </c>
      <c r="B318" s="83"/>
      <c r="C318" s="84"/>
      <c r="D318" s="81" t="s">
        <v>72</v>
      </c>
      <c r="E318" s="92"/>
      <c r="F318" s="92"/>
      <c r="G318" s="92"/>
      <c r="H318" s="92"/>
      <c r="I318" s="92"/>
    </row>
    <row r="319" spans="1:9" ht="25.5" x14ac:dyDescent="0.25">
      <c r="A319" s="82">
        <v>3232</v>
      </c>
      <c r="B319" s="83"/>
      <c r="C319" s="84"/>
      <c r="D319" s="81" t="s">
        <v>73</v>
      </c>
      <c r="E319" s="92"/>
      <c r="F319" s="92"/>
      <c r="G319" s="92"/>
      <c r="H319" s="92"/>
      <c r="I319" s="92"/>
    </row>
    <row r="320" spans="1:9" x14ac:dyDescent="0.25">
      <c r="A320" s="82">
        <v>3233</v>
      </c>
      <c r="B320" s="83"/>
      <c r="C320" s="84"/>
      <c r="D320" s="81" t="s">
        <v>74</v>
      </c>
      <c r="E320" s="92"/>
      <c r="F320" s="92"/>
      <c r="G320" s="92"/>
      <c r="H320" s="92"/>
      <c r="I320" s="92"/>
    </row>
    <row r="321" spans="1:9" x14ac:dyDescent="0.25">
      <c r="A321" s="82">
        <v>3234</v>
      </c>
      <c r="B321" s="83"/>
      <c r="C321" s="84"/>
      <c r="D321" s="81" t="s">
        <v>75</v>
      </c>
      <c r="E321" s="92"/>
      <c r="F321" s="92"/>
      <c r="G321" s="92"/>
      <c r="H321" s="92"/>
      <c r="I321" s="92"/>
    </row>
    <row r="322" spans="1:9" x14ac:dyDescent="0.25">
      <c r="A322" s="82">
        <v>3235</v>
      </c>
      <c r="B322" s="83"/>
      <c r="C322" s="84"/>
      <c r="D322" s="81" t="s">
        <v>76</v>
      </c>
      <c r="E322" s="92"/>
      <c r="F322" s="92"/>
      <c r="G322" s="92"/>
      <c r="H322" s="92"/>
      <c r="I322" s="92"/>
    </row>
    <row r="323" spans="1:9" x14ac:dyDescent="0.25">
      <c r="A323" s="82">
        <v>3236</v>
      </c>
      <c r="B323" s="83"/>
      <c r="C323" s="84"/>
      <c r="D323" s="81" t="s">
        <v>77</v>
      </c>
      <c r="E323" s="92">
        <v>130.87</v>
      </c>
      <c r="F323" s="92"/>
      <c r="G323" s="92"/>
      <c r="H323" s="92"/>
      <c r="I323" s="92"/>
    </row>
    <row r="324" spans="1:9" x14ac:dyDescent="0.25">
      <c r="A324" s="82">
        <v>3237</v>
      </c>
      <c r="B324" s="83"/>
      <c r="C324" s="84"/>
      <c r="D324" s="81" t="s">
        <v>78</v>
      </c>
      <c r="E324" s="92"/>
      <c r="F324" s="92"/>
      <c r="G324" s="92"/>
      <c r="H324" s="92"/>
      <c r="I324" s="92"/>
    </row>
    <row r="325" spans="1:9" x14ac:dyDescent="0.25">
      <c r="A325" s="82">
        <v>3238</v>
      </c>
      <c r="B325" s="83"/>
      <c r="C325" s="84"/>
      <c r="D325" s="81" t="s">
        <v>79</v>
      </c>
      <c r="E325" s="92"/>
      <c r="F325" s="92"/>
      <c r="G325" s="92"/>
      <c r="H325" s="92"/>
      <c r="I325" s="92"/>
    </row>
    <row r="326" spans="1:9" x14ac:dyDescent="0.25">
      <c r="A326" s="82">
        <v>3239</v>
      </c>
      <c r="B326" s="83"/>
      <c r="C326" s="84"/>
      <c r="D326" s="81" t="s">
        <v>80</v>
      </c>
      <c r="E326" s="92"/>
      <c r="F326" s="92"/>
      <c r="G326" s="92"/>
      <c r="H326" s="92"/>
      <c r="I326" s="92"/>
    </row>
    <row r="327" spans="1:9" ht="25.5" x14ac:dyDescent="0.25">
      <c r="A327" s="42">
        <v>324</v>
      </c>
      <c r="B327" s="43"/>
      <c r="C327" s="44"/>
      <c r="D327" s="45" t="s">
        <v>81</v>
      </c>
      <c r="E327" s="91"/>
      <c r="F327" s="91"/>
      <c r="G327" s="91"/>
      <c r="H327" s="91"/>
      <c r="I327" s="91"/>
    </row>
    <row r="328" spans="1:9" ht="25.5" x14ac:dyDescent="0.25">
      <c r="A328" s="42">
        <v>329</v>
      </c>
      <c r="B328" s="43"/>
      <c r="C328" s="44"/>
      <c r="D328" s="45" t="s">
        <v>82</v>
      </c>
      <c r="E328" s="91">
        <f t="shared" ref="E328:I328" si="152">SUM(E329:E335)</f>
        <v>1664.43</v>
      </c>
      <c r="F328" s="91">
        <f t="shared" ref="F328" si="153">SUM(F329:F335)</f>
        <v>1800</v>
      </c>
      <c r="G328" s="91">
        <f t="shared" si="152"/>
        <v>2300</v>
      </c>
      <c r="H328" s="91">
        <f t="shared" si="152"/>
        <v>4600</v>
      </c>
      <c r="I328" s="91">
        <f t="shared" si="152"/>
        <v>4700</v>
      </c>
    </row>
    <row r="329" spans="1:9" ht="38.25" x14ac:dyDescent="0.25">
      <c r="A329" s="82">
        <v>3291</v>
      </c>
      <c r="B329" s="83"/>
      <c r="C329" s="84"/>
      <c r="D329" s="81" t="s">
        <v>83</v>
      </c>
      <c r="E329" s="92"/>
      <c r="F329" s="92"/>
      <c r="G329" s="92"/>
      <c r="H329" s="92"/>
      <c r="I329" s="92"/>
    </row>
    <row r="330" spans="1:9" x14ac:dyDescent="0.25">
      <c r="A330" s="82">
        <v>3292</v>
      </c>
      <c r="B330" s="83"/>
      <c r="C330" s="84"/>
      <c r="D330" s="81" t="s">
        <v>84</v>
      </c>
      <c r="E330" s="92"/>
      <c r="F330" s="92"/>
      <c r="G330" s="92"/>
      <c r="H330" s="92"/>
      <c r="I330" s="92"/>
    </row>
    <row r="331" spans="1:9" x14ac:dyDescent="0.25">
      <c r="A331" s="82">
        <v>3293</v>
      </c>
      <c r="B331" s="83"/>
      <c r="C331" s="84"/>
      <c r="D331" s="81" t="s">
        <v>85</v>
      </c>
      <c r="E331" s="92"/>
      <c r="F331" s="92"/>
      <c r="G331" s="92"/>
      <c r="H331" s="92"/>
      <c r="I331" s="92"/>
    </row>
    <row r="332" spans="1:9" x14ac:dyDescent="0.25">
      <c r="A332" s="82">
        <v>3294</v>
      </c>
      <c r="B332" s="83"/>
      <c r="C332" s="84"/>
      <c r="D332" s="81" t="s">
        <v>86</v>
      </c>
      <c r="E332" s="92"/>
      <c r="F332" s="92"/>
      <c r="G332" s="92"/>
      <c r="H332" s="92"/>
      <c r="I332" s="92"/>
    </row>
    <row r="333" spans="1:9" x14ac:dyDescent="0.25">
      <c r="A333" s="82">
        <v>3295</v>
      </c>
      <c r="B333" s="83"/>
      <c r="C333" s="84"/>
      <c r="D333" s="81" t="s">
        <v>87</v>
      </c>
      <c r="E333" s="92">
        <v>1664.43</v>
      </c>
      <c r="F333" s="92">
        <v>1800</v>
      </c>
      <c r="G333" s="92">
        <v>2300</v>
      </c>
      <c r="H333" s="92">
        <v>2400</v>
      </c>
      <c r="I333" s="92">
        <v>2500</v>
      </c>
    </row>
    <row r="334" spans="1:9" x14ac:dyDescent="0.25">
      <c r="A334" s="82">
        <v>3296</v>
      </c>
      <c r="B334" s="83"/>
      <c r="C334" s="84"/>
      <c r="D334" s="81" t="s">
        <v>88</v>
      </c>
      <c r="E334" s="92"/>
      <c r="F334" s="92"/>
      <c r="G334" s="92"/>
      <c r="H334" s="92"/>
      <c r="I334" s="92"/>
    </row>
    <row r="335" spans="1:9" ht="25.5" x14ac:dyDescent="0.25">
      <c r="A335" s="82">
        <v>3299</v>
      </c>
      <c r="B335" s="83"/>
      <c r="C335" s="84"/>
      <c r="D335" s="81" t="s">
        <v>47</v>
      </c>
      <c r="E335" s="92"/>
      <c r="F335" s="92"/>
      <c r="G335" s="92"/>
      <c r="H335" s="92">
        <v>2200</v>
      </c>
      <c r="I335" s="92">
        <v>2200</v>
      </c>
    </row>
    <row r="336" spans="1:9" x14ac:dyDescent="0.25">
      <c r="A336" s="87">
        <v>34</v>
      </c>
      <c r="B336" s="88"/>
      <c r="C336" s="89"/>
      <c r="D336" s="47" t="s">
        <v>48</v>
      </c>
      <c r="E336" s="90">
        <f t="shared" ref="E336:I336" si="154">SUM(E337)</f>
        <v>0</v>
      </c>
      <c r="F336" s="90">
        <f t="shared" si="154"/>
        <v>0</v>
      </c>
      <c r="G336" s="90">
        <f t="shared" si="154"/>
        <v>0</v>
      </c>
      <c r="H336" s="90">
        <f t="shared" si="154"/>
        <v>0</v>
      </c>
      <c r="I336" s="90">
        <f t="shared" si="154"/>
        <v>0</v>
      </c>
    </row>
    <row r="337" spans="1:9" x14ac:dyDescent="0.25">
      <c r="A337" s="42">
        <v>343</v>
      </c>
      <c r="B337" s="43"/>
      <c r="C337" s="44"/>
      <c r="D337" s="45" t="s">
        <v>49</v>
      </c>
      <c r="E337" s="91">
        <f t="shared" ref="E337:I337" si="155">SUM(E338:E339)</f>
        <v>0</v>
      </c>
      <c r="F337" s="91">
        <f t="shared" ref="F337" si="156">SUM(F338:F339)</f>
        <v>0</v>
      </c>
      <c r="G337" s="91">
        <f t="shared" si="155"/>
        <v>0</v>
      </c>
      <c r="H337" s="91">
        <f t="shared" si="155"/>
        <v>0</v>
      </c>
      <c r="I337" s="91">
        <f t="shared" si="155"/>
        <v>0</v>
      </c>
    </row>
    <row r="338" spans="1:9" ht="25.5" x14ac:dyDescent="0.25">
      <c r="A338" s="82">
        <v>3431</v>
      </c>
      <c r="B338" s="83"/>
      <c r="C338" s="84"/>
      <c r="D338" s="81" t="s">
        <v>89</v>
      </c>
      <c r="E338" s="92"/>
      <c r="F338" s="92"/>
      <c r="G338" s="92"/>
      <c r="H338" s="92"/>
      <c r="I338" s="92"/>
    </row>
    <row r="339" spans="1:9" x14ac:dyDescent="0.25">
      <c r="A339" s="82">
        <v>3433</v>
      </c>
      <c r="B339" s="83"/>
      <c r="C339" s="84"/>
      <c r="D339" s="81" t="s">
        <v>90</v>
      </c>
      <c r="E339" s="92"/>
      <c r="F339" s="92"/>
      <c r="G339" s="92"/>
      <c r="H339" s="92"/>
      <c r="I339" s="92"/>
    </row>
    <row r="340" spans="1:9" ht="38.25" x14ac:dyDescent="0.25">
      <c r="A340" s="87">
        <v>37</v>
      </c>
      <c r="B340" s="88"/>
      <c r="C340" s="89"/>
      <c r="D340" s="47" t="s">
        <v>50</v>
      </c>
      <c r="E340" s="90">
        <f>SUM(E341)</f>
        <v>3374.96</v>
      </c>
      <c r="F340" s="90">
        <f t="shared" ref="F340:I340" si="157">SUM(F341)</f>
        <v>3500</v>
      </c>
      <c r="G340" s="90">
        <f t="shared" si="157"/>
        <v>5700</v>
      </c>
      <c r="H340" s="90">
        <f t="shared" si="157"/>
        <v>4200</v>
      </c>
      <c r="I340" s="90">
        <f t="shared" si="157"/>
        <v>4200</v>
      </c>
    </row>
    <row r="341" spans="1:9" ht="25.5" x14ac:dyDescent="0.25">
      <c r="A341" s="42">
        <v>372</v>
      </c>
      <c r="B341" s="43"/>
      <c r="C341" s="44"/>
      <c r="D341" s="45" t="s">
        <v>51</v>
      </c>
      <c r="E341" s="91">
        <f>E343</f>
        <v>3374.96</v>
      </c>
      <c r="F341" s="91">
        <f>F342+F343</f>
        <v>3500</v>
      </c>
      <c r="G341" s="91">
        <f>G342+G343</f>
        <v>5700</v>
      </c>
      <c r="H341" s="91">
        <f t="shared" ref="H341:I341" si="158">H342+H343</f>
        <v>4200</v>
      </c>
      <c r="I341" s="91">
        <f t="shared" si="158"/>
        <v>4200</v>
      </c>
    </row>
    <row r="342" spans="1:9" ht="25.5" x14ac:dyDescent="0.25">
      <c r="A342" s="82">
        <v>3721</v>
      </c>
      <c r="B342" s="83"/>
      <c r="C342" s="84"/>
      <c r="D342" s="81" t="s">
        <v>91</v>
      </c>
      <c r="E342" s="92"/>
      <c r="F342" s="92"/>
      <c r="G342" s="92"/>
      <c r="H342" s="92"/>
      <c r="I342" s="92"/>
    </row>
    <row r="343" spans="1:9" ht="25.5" x14ac:dyDescent="0.25">
      <c r="A343" s="82">
        <v>3722</v>
      </c>
      <c r="B343" s="83"/>
      <c r="C343" s="84"/>
      <c r="D343" s="81" t="s">
        <v>92</v>
      </c>
      <c r="E343" s="92">
        <v>3374.96</v>
      </c>
      <c r="F343" s="92">
        <v>3500</v>
      </c>
      <c r="G343" s="92">
        <v>5700</v>
      </c>
      <c r="H343" s="92">
        <v>4200</v>
      </c>
      <c r="I343" s="92">
        <v>4200</v>
      </c>
    </row>
    <row r="344" spans="1:9" ht="38.25" x14ac:dyDescent="0.25">
      <c r="A344" s="212">
        <v>4</v>
      </c>
      <c r="B344" s="213"/>
      <c r="C344" s="214"/>
      <c r="D344" s="209" t="s">
        <v>40</v>
      </c>
      <c r="E344" s="211">
        <f>SUM(E345)</f>
        <v>6253.0599999999995</v>
      </c>
      <c r="F344" s="211">
        <f>F346+F353</f>
        <v>3950</v>
      </c>
      <c r="G344" s="211">
        <f>G346+G353</f>
        <v>2800</v>
      </c>
      <c r="H344" s="211">
        <f t="shared" ref="H344:I344" si="159">SUM(H345)</f>
        <v>2800</v>
      </c>
      <c r="I344" s="211">
        <f t="shared" si="159"/>
        <v>2800</v>
      </c>
    </row>
    <row r="345" spans="1:9" ht="38.25" x14ac:dyDescent="0.25">
      <c r="A345" s="87">
        <v>42</v>
      </c>
      <c r="B345" s="88"/>
      <c r="C345" s="89"/>
      <c r="D345" s="47" t="s">
        <v>40</v>
      </c>
      <c r="E345" s="90">
        <f>SUM(E346+E353)</f>
        <v>6253.0599999999995</v>
      </c>
      <c r="F345" s="90">
        <f>F346+F353</f>
        <v>3950</v>
      </c>
      <c r="G345" s="90">
        <f>G346+G353</f>
        <v>2800</v>
      </c>
      <c r="H345" s="90">
        <f t="shared" ref="H345:I345" si="160">H346+H353</f>
        <v>2800</v>
      </c>
      <c r="I345" s="90">
        <f t="shared" si="160"/>
        <v>2800</v>
      </c>
    </row>
    <row r="346" spans="1:9" x14ac:dyDescent="0.25">
      <c r="A346" s="42">
        <v>422</v>
      </c>
      <c r="B346" s="43"/>
      <c r="C346" s="44"/>
      <c r="D346" s="45" t="s">
        <v>52</v>
      </c>
      <c r="E346" s="91">
        <f t="shared" ref="E346:I346" si="161">SUM(E347:E352)</f>
        <v>2200</v>
      </c>
      <c r="F346" s="91">
        <f t="shared" ref="F346" si="162">SUM(F347:F352)</f>
        <v>0</v>
      </c>
      <c r="G346" s="91">
        <f t="shared" si="161"/>
        <v>0</v>
      </c>
      <c r="H346" s="91">
        <f t="shared" si="161"/>
        <v>0</v>
      </c>
      <c r="I346" s="91">
        <f t="shared" si="161"/>
        <v>0</v>
      </c>
    </row>
    <row r="347" spans="1:9" x14ac:dyDescent="0.25">
      <c r="A347" s="82">
        <v>4221</v>
      </c>
      <c r="B347" s="83"/>
      <c r="C347" s="84"/>
      <c r="D347" s="81" t="s">
        <v>93</v>
      </c>
      <c r="E347" s="92"/>
      <c r="F347" s="92"/>
      <c r="G347" s="92"/>
      <c r="H347" s="92"/>
      <c r="I347" s="92"/>
    </row>
    <row r="348" spans="1:9" x14ac:dyDescent="0.25">
      <c r="A348" s="82">
        <v>4222</v>
      </c>
      <c r="B348" s="83"/>
      <c r="C348" s="84"/>
      <c r="D348" s="81" t="s">
        <v>94</v>
      </c>
      <c r="E348" s="92"/>
      <c r="F348" s="92"/>
      <c r="G348" s="92"/>
      <c r="H348" s="92"/>
      <c r="I348" s="92"/>
    </row>
    <row r="349" spans="1:9" x14ac:dyDescent="0.25">
      <c r="A349" s="82">
        <v>4223</v>
      </c>
      <c r="B349" s="83"/>
      <c r="C349" s="84"/>
      <c r="D349" s="81" t="s">
        <v>95</v>
      </c>
      <c r="E349" s="92"/>
      <c r="F349" s="92"/>
      <c r="G349" s="92"/>
      <c r="H349" s="92"/>
      <c r="I349" s="92"/>
    </row>
    <row r="350" spans="1:9" x14ac:dyDescent="0.25">
      <c r="A350" s="82">
        <v>4225</v>
      </c>
      <c r="B350" s="83"/>
      <c r="C350" s="84"/>
      <c r="D350" s="81" t="s">
        <v>96</v>
      </c>
      <c r="E350" s="92"/>
      <c r="F350" s="92"/>
      <c r="G350" s="92"/>
      <c r="H350" s="92"/>
      <c r="I350" s="92"/>
    </row>
    <row r="351" spans="1:9" x14ac:dyDescent="0.25">
      <c r="A351" s="82">
        <v>4226</v>
      </c>
      <c r="B351" s="83"/>
      <c r="C351" s="84"/>
      <c r="D351" s="81" t="s">
        <v>97</v>
      </c>
      <c r="E351" s="92"/>
      <c r="F351" s="92"/>
      <c r="G351" s="92"/>
      <c r="H351" s="92"/>
      <c r="I351" s="92"/>
    </row>
    <row r="352" spans="1:9" ht="25.5" x14ac:dyDescent="0.25">
      <c r="A352" s="82">
        <v>4227</v>
      </c>
      <c r="B352" s="83"/>
      <c r="C352" s="84"/>
      <c r="D352" s="81" t="s">
        <v>98</v>
      </c>
      <c r="E352" s="92">
        <v>2200</v>
      </c>
      <c r="F352" s="92"/>
      <c r="G352" s="92"/>
      <c r="H352" s="92"/>
      <c r="I352" s="92"/>
    </row>
    <row r="353" spans="1:10" ht="25.5" x14ac:dyDescent="0.25">
      <c r="A353" s="42">
        <v>424</v>
      </c>
      <c r="B353" s="43"/>
      <c r="C353" s="44"/>
      <c r="D353" s="45" t="s">
        <v>53</v>
      </c>
      <c r="E353" s="91">
        <f t="shared" ref="E353:I353" si="163">SUM(E354)</f>
        <v>4053.06</v>
      </c>
      <c r="F353" s="91">
        <f t="shared" si="163"/>
        <v>3950</v>
      </c>
      <c r="G353" s="91">
        <f t="shared" si="163"/>
        <v>2800</v>
      </c>
      <c r="H353" s="91">
        <f t="shared" si="163"/>
        <v>2800</v>
      </c>
      <c r="I353" s="91">
        <f t="shared" si="163"/>
        <v>2800</v>
      </c>
    </row>
    <row r="354" spans="1:10" x14ac:dyDescent="0.25">
      <c r="A354" s="82">
        <v>4241</v>
      </c>
      <c r="B354" s="83"/>
      <c r="C354" s="84"/>
      <c r="D354" s="81" t="s">
        <v>99</v>
      </c>
      <c r="E354" s="92">
        <v>4053.06</v>
      </c>
      <c r="F354" s="92">
        <v>3950</v>
      </c>
      <c r="G354" s="92">
        <v>2800</v>
      </c>
      <c r="H354" s="92">
        <v>2800</v>
      </c>
      <c r="I354" s="92">
        <v>2800</v>
      </c>
    </row>
    <row r="355" spans="1:10" x14ac:dyDescent="0.25">
      <c r="A355" s="82"/>
      <c r="B355" s="83"/>
      <c r="C355" s="84"/>
      <c r="D355" s="81"/>
      <c r="E355" s="92"/>
      <c r="F355" s="92"/>
      <c r="G355" s="92"/>
      <c r="H355" s="92"/>
      <c r="I355" s="92"/>
    </row>
    <row r="356" spans="1:10" x14ac:dyDescent="0.25">
      <c r="A356" s="82"/>
      <c r="B356" s="83"/>
      <c r="C356" s="84"/>
      <c r="D356" s="206" t="s">
        <v>100</v>
      </c>
      <c r="E356" s="207">
        <f t="shared" ref="E356:I356" si="164">SUM(E292+E344)</f>
        <v>574933.47</v>
      </c>
      <c r="F356" s="207">
        <f>SUM(F292+F344)</f>
        <v>562950</v>
      </c>
      <c r="G356" s="207">
        <f>SUM(G292+G344)</f>
        <v>793599.99799999991</v>
      </c>
      <c r="H356" s="207">
        <f t="shared" si="164"/>
        <v>817885.00399999996</v>
      </c>
      <c r="I356" s="207">
        <f t="shared" si="164"/>
        <v>823885.00399999996</v>
      </c>
    </row>
    <row r="357" spans="1:10" x14ac:dyDescent="0.25">
      <c r="A357" s="82"/>
      <c r="B357" s="83"/>
      <c r="C357" s="84"/>
      <c r="D357" s="81"/>
      <c r="E357" s="8"/>
      <c r="F357" s="8"/>
      <c r="G357" s="8"/>
      <c r="H357" s="8"/>
      <c r="I357" s="8"/>
    </row>
    <row r="358" spans="1:10" ht="25.5" x14ac:dyDescent="0.25">
      <c r="A358" s="256" t="s">
        <v>26</v>
      </c>
      <c r="B358" s="257"/>
      <c r="C358" s="258"/>
      <c r="D358" s="19" t="s">
        <v>27</v>
      </c>
      <c r="E358" s="19" t="s">
        <v>182</v>
      </c>
      <c r="F358" s="20" t="s">
        <v>186</v>
      </c>
      <c r="G358" s="20" t="s">
        <v>183</v>
      </c>
      <c r="H358" s="20" t="s">
        <v>160</v>
      </c>
      <c r="I358" s="20" t="s">
        <v>184</v>
      </c>
    </row>
    <row r="359" spans="1:10" x14ac:dyDescent="0.25">
      <c r="A359" s="259" t="s">
        <v>101</v>
      </c>
      <c r="B359" s="260"/>
      <c r="C359" s="261"/>
      <c r="D359" s="215" t="s">
        <v>33</v>
      </c>
      <c r="E359" s="8"/>
      <c r="F359" s="8"/>
      <c r="G359" s="8"/>
      <c r="H359" s="8"/>
      <c r="I359" s="8"/>
    </row>
    <row r="360" spans="1:10" x14ac:dyDescent="0.25">
      <c r="A360" s="259" t="s">
        <v>190</v>
      </c>
      <c r="B360" s="260"/>
      <c r="C360" s="261"/>
      <c r="D360" s="218" t="s">
        <v>189</v>
      </c>
      <c r="E360" s="8"/>
      <c r="F360" s="8"/>
      <c r="G360" s="8"/>
      <c r="H360" s="8"/>
      <c r="I360" s="8"/>
    </row>
    <row r="361" spans="1:10" x14ac:dyDescent="0.25">
      <c r="A361" s="262">
        <v>52</v>
      </c>
      <c r="B361" s="263"/>
      <c r="C361" s="264"/>
      <c r="D361" s="216" t="s">
        <v>37</v>
      </c>
      <c r="E361" s="8"/>
      <c r="F361" s="8"/>
      <c r="G361" s="8"/>
      <c r="H361" s="8"/>
      <c r="I361" s="8"/>
    </row>
    <row r="362" spans="1:10" x14ac:dyDescent="0.25">
      <c r="A362" s="265">
        <v>3</v>
      </c>
      <c r="B362" s="266"/>
      <c r="C362" s="267"/>
      <c r="D362" s="217" t="s">
        <v>16</v>
      </c>
      <c r="E362" s="210">
        <f t="shared" ref="E362:I362" si="165">SUM(E363+E373)</f>
        <v>0</v>
      </c>
      <c r="F362" s="210">
        <f t="shared" si="165"/>
        <v>0</v>
      </c>
      <c r="G362" s="210">
        <f t="shared" si="165"/>
        <v>2799.9969999999998</v>
      </c>
      <c r="H362" s="210">
        <f t="shared" si="165"/>
        <v>0</v>
      </c>
      <c r="I362" s="210">
        <f t="shared" si="165"/>
        <v>0</v>
      </c>
    </row>
    <row r="363" spans="1:10" x14ac:dyDescent="0.25">
      <c r="A363" s="253">
        <v>31</v>
      </c>
      <c r="B363" s="254"/>
      <c r="C363" s="255"/>
      <c r="D363" s="47" t="s">
        <v>17</v>
      </c>
      <c r="E363" s="79">
        <f t="shared" ref="E363:I363" si="166">SUM(E364+E368+E370)</f>
        <v>0</v>
      </c>
      <c r="F363" s="79">
        <f t="shared" si="166"/>
        <v>0</v>
      </c>
      <c r="G363" s="79">
        <f t="shared" si="166"/>
        <v>2669.9969999999998</v>
      </c>
      <c r="H363" s="79">
        <f t="shared" si="166"/>
        <v>0</v>
      </c>
      <c r="I363" s="79">
        <f t="shared" si="166"/>
        <v>0</v>
      </c>
      <c r="J363" s="219"/>
    </row>
    <row r="364" spans="1:10" x14ac:dyDescent="0.25">
      <c r="A364" s="42">
        <v>311</v>
      </c>
      <c r="B364" s="43"/>
      <c r="C364" s="44"/>
      <c r="D364" s="45" t="s">
        <v>42</v>
      </c>
      <c r="E364" s="80">
        <f t="shared" ref="E364" si="167">SUM(E365:E367)</f>
        <v>0</v>
      </c>
      <c r="F364" s="80">
        <f t="shared" ref="F364" si="168">SUM(F365:F367)</f>
        <v>0</v>
      </c>
      <c r="G364" s="80">
        <f t="shared" ref="G364:I364" si="169">SUM(G365:G367)</f>
        <v>2111.587</v>
      </c>
      <c r="H364" s="80">
        <f t="shared" si="169"/>
        <v>0</v>
      </c>
      <c r="I364" s="80">
        <f t="shared" si="169"/>
        <v>0</v>
      </c>
    </row>
    <row r="365" spans="1:10" x14ac:dyDescent="0.25">
      <c r="A365" s="82">
        <v>3111</v>
      </c>
      <c r="B365" s="83"/>
      <c r="C365" s="84"/>
      <c r="D365" s="81" t="s">
        <v>54</v>
      </c>
      <c r="E365" s="78"/>
      <c r="F365" s="78"/>
      <c r="G365" s="78">
        <v>2111.587</v>
      </c>
      <c r="H365" s="78"/>
      <c r="I365" s="78"/>
    </row>
    <row r="366" spans="1:10" x14ac:dyDescent="0.25">
      <c r="A366" s="82">
        <v>3113</v>
      </c>
      <c r="B366" s="83"/>
      <c r="C366" s="84"/>
      <c r="D366" s="81" t="s">
        <v>55</v>
      </c>
      <c r="E366" s="78"/>
      <c r="F366" s="78"/>
      <c r="G366" s="78"/>
      <c r="H366" s="78"/>
      <c r="I366" s="78"/>
    </row>
    <row r="367" spans="1:10" x14ac:dyDescent="0.25">
      <c r="A367" s="82">
        <v>3114</v>
      </c>
      <c r="B367" s="83"/>
      <c r="C367" s="84"/>
      <c r="D367" s="81" t="s">
        <v>56</v>
      </c>
      <c r="E367" s="78"/>
      <c r="F367" s="78"/>
      <c r="G367" s="78"/>
      <c r="H367" s="78"/>
      <c r="I367" s="78"/>
    </row>
    <row r="368" spans="1:10" x14ac:dyDescent="0.25">
      <c r="A368" s="42">
        <v>312</v>
      </c>
      <c r="B368" s="43"/>
      <c r="C368" s="44"/>
      <c r="D368" s="45" t="s">
        <v>57</v>
      </c>
      <c r="E368" s="80">
        <f t="shared" ref="E368:I368" si="170">SUM(E369)</f>
        <v>0</v>
      </c>
      <c r="F368" s="80">
        <f t="shared" si="170"/>
        <v>0</v>
      </c>
      <c r="G368" s="80">
        <f t="shared" si="170"/>
        <v>210</v>
      </c>
      <c r="H368" s="80">
        <f t="shared" si="170"/>
        <v>0</v>
      </c>
      <c r="I368" s="80">
        <f t="shared" si="170"/>
        <v>0</v>
      </c>
    </row>
    <row r="369" spans="1:9" x14ac:dyDescent="0.25">
      <c r="A369" s="82">
        <v>3121</v>
      </c>
      <c r="B369" s="83"/>
      <c r="C369" s="84"/>
      <c r="D369" s="81" t="s">
        <v>58</v>
      </c>
      <c r="E369" s="78"/>
      <c r="F369" s="78"/>
      <c r="G369" s="78">
        <v>210</v>
      </c>
      <c r="H369" s="78"/>
      <c r="I369" s="78"/>
    </row>
    <row r="370" spans="1:9" x14ac:dyDescent="0.25">
      <c r="A370" s="42">
        <v>313</v>
      </c>
      <c r="B370" s="43"/>
      <c r="C370" s="44"/>
      <c r="D370" s="45" t="s">
        <v>43</v>
      </c>
      <c r="E370" s="80">
        <f t="shared" ref="E370:G370" si="171">SUM(E371:E372)</f>
        <v>0</v>
      </c>
      <c r="F370" s="80">
        <f t="shared" si="171"/>
        <v>0</v>
      </c>
      <c r="G370" s="80">
        <f t="shared" si="171"/>
        <v>348.41</v>
      </c>
      <c r="H370" s="80">
        <f>SUM(H371:H372)</f>
        <v>0</v>
      </c>
      <c r="I370" s="80">
        <f t="shared" ref="I370" si="172">SUM(I371:I372)</f>
        <v>0</v>
      </c>
    </row>
    <row r="371" spans="1:9" x14ac:dyDescent="0.25">
      <c r="A371" s="82">
        <v>3131</v>
      </c>
      <c r="B371" s="83"/>
      <c r="C371" s="84"/>
      <c r="D371" s="81" t="s">
        <v>59</v>
      </c>
      <c r="E371" s="78"/>
      <c r="F371" s="78"/>
      <c r="G371" s="78"/>
      <c r="H371" s="78"/>
      <c r="I371" s="78"/>
    </row>
    <row r="372" spans="1:9" ht="25.5" x14ac:dyDescent="0.25">
      <c r="A372" s="82">
        <v>3132</v>
      </c>
      <c r="B372" s="83"/>
      <c r="C372" s="84"/>
      <c r="D372" s="81" t="s">
        <v>60</v>
      </c>
      <c r="E372" s="78"/>
      <c r="F372" s="78"/>
      <c r="G372" s="78">
        <v>348.41</v>
      </c>
      <c r="H372" s="78"/>
      <c r="I372" s="78"/>
    </row>
    <row r="373" spans="1:9" x14ac:dyDescent="0.25">
      <c r="A373" s="253">
        <v>32</v>
      </c>
      <c r="B373" s="254"/>
      <c r="C373" s="255"/>
      <c r="D373" s="47" t="s">
        <v>28</v>
      </c>
      <c r="E373" s="48">
        <f t="shared" ref="E373:I373" si="173">SUM(E374)</f>
        <v>0</v>
      </c>
      <c r="F373" s="48">
        <f t="shared" si="173"/>
        <v>0</v>
      </c>
      <c r="G373" s="48">
        <f t="shared" si="173"/>
        <v>130</v>
      </c>
      <c r="H373" s="48">
        <f t="shared" si="173"/>
        <v>0</v>
      </c>
      <c r="I373" s="48">
        <f t="shared" si="173"/>
        <v>0</v>
      </c>
    </row>
    <row r="374" spans="1:9" x14ac:dyDescent="0.25">
      <c r="A374" s="42">
        <v>321</v>
      </c>
      <c r="B374" s="43"/>
      <c r="C374" s="44"/>
      <c r="D374" s="45" t="s">
        <v>44</v>
      </c>
      <c r="E374" s="46">
        <f t="shared" ref="E374:I374" si="174">SUM(E375:E378)</f>
        <v>0</v>
      </c>
      <c r="F374" s="46">
        <f t="shared" si="174"/>
        <v>0</v>
      </c>
      <c r="G374" s="46">
        <f t="shared" si="174"/>
        <v>130</v>
      </c>
      <c r="H374" s="46">
        <f t="shared" si="174"/>
        <v>0</v>
      </c>
      <c r="I374" s="46">
        <f t="shared" si="174"/>
        <v>0</v>
      </c>
    </row>
    <row r="375" spans="1:9" x14ac:dyDescent="0.25">
      <c r="A375" s="82">
        <v>3211</v>
      </c>
      <c r="B375" s="83"/>
      <c r="C375" s="84"/>
      <c r="D375" s="81" t="s">
        <v>61</v>
      </c>
      <c r="E375" s="8"/>
      <c r="F375" s="8"/>
      <c r="G375" s="8"/>
      <c r="H375" s="8"/>
      <c r="I375" s="8"/>
    </row>
    <row r="376" spans="1:9" ht="25.5" x14ac:dyDescent="0.25">
      <c r="A376" s="82">
        <v>3212</v>
      </c>
      <c r="B376" s="83"/>
      <c r="C376" s="84"/>
      <c r="D376" s="81" t="s">
        <v>130</v>
      </c>
      <c r="E376" s="8"/>
      <c r="F376" s="8"/>
      <c r="G376" s="8">
        <v>130</v>
      </c>
      <c r="H376" s="8"/>
      <c r="I376" s="8"/>
    </row>
    <row r="377" spans="1:9" x14ac:dyDescent="0.25">
      <c r="A377" s="82">
        <v>3213</v>
      </c>
      <c r="B377" s="83"/>
      <c r="C377" s="84"/>
      <c r="D377" s="81" t="s">
        <v>63</v>
      </c>
      <c r="E377" s="8"/>
      <c r="F377" s="8"/>
      <c r="G377" s="8"/>
      <c r="H377" s="8"/>
      <c r="I377" s="8"/>
    </row>
    <row r="378" spans="1:9" ht="25.5" x14ac:dyDescent="0.25">
      <c r="A378" s="82">
        <v>3214</v>
      </c>
      <c r="B378" s="83"/>
      <c r="C378" s="84"/>
      <c r="D378" s="81" t="s">
        <v>64</v>
      </c>
      <c r="E378" s="8"/>
      <c r="F378" s="8"/>
      <c r="G378" s="8"/>
      <c r="H378" s="8"/>
      <c r="I378" s="8"/>
    </row>
    <row r="379" spans="1:9" x14ac:dyDescent="0.25">
      <c r="A379" s="82"/>
      <c r="B379" s="83"/>
      <c r="C379" s="84"/>
      <c r="D379" s="206" t="s">
        <v>100</v>
      </c>
      <c r="E379" s="208">
        <f t="shared" ref="E379:I379" si="175">SUM(E362)</f>
        <v>0</v>
      </c>
      <c r="F379" s="208">
        <f t="shared" si="175"/>
        <v>0</v>
      </c>
      <c r="G379" s="208">
        <f t="shared" si="175"/>
        <v>2799.9969999999998</v>
      </c>
      <c r="H379" s="208">
        <f t="shared" si="175"/>
        <v>0</v>
      </c>
      <c r="I379" s="208">
        <f t="shared" si="175"/>
        <v>0</v>
      </c>
    </row>
    <row r="380" spans="1:9" x14ac:dyDescent="0.25">
      <c r="A380" s="82"/>
      <c r="B380" s="83"/>
      <c r="C380" s="84"/>
      <c r="D380" s="81"/>
      <c r="E380" s="8"/>
      <c r="F380" s="8"/>
      <c r="G380" s="8"/>
      <c r="H380" s="8"/>
      <c r="I380" s="8"/>
    </row>
  </sheetData>
  <mergeCells count="58">
    <mergeCell ref="A1:I1"/>
    <mergeCell ref="A3:I3"/>
    <mergeCell ref="A5:C5"/>
    <mergeCell ref="A8:C8"/>
    <mergeCell ref="A9:C9"/>
    <mergeCell ref="A6:C6"/>
    <mergeCell ref="A7:C7"/>
    <mergeCell ref="F2:I2"/>
    <mergeCell ref="A20:C20"/>
    <mergeCell ref="A10:C10"/>
    <mergeCell ref="A51:C51"/>
    <mergeCell ref="A56:C56"/>
    <mergeCell ref="A52:C52"/>
    <mergeCell ref="A53:C53"/>
    <mergeCell ref="A54:C54"/>
    <mergeCell ref="A55:C55"/>
    <mergeCell ref="A28:C28"/>
    <mergeCell ref="A29:C29"/>
    <mergeCell ref="A30:C30"/>
    <mergeCell ref="A31:C31"/>
    <mergeCell ref="A32:C32"/>
    <mergeCell ref="A33:C33"/>
    <mergeCell ref="A43:C43"/>
    <mergeCell ref="A247:C247"/>
    <mergeCell ref="A248:C248"/>
    <mergeCell ref="A249:C249"/>
    <mergeCell ref="A250:C250"/>
    <mergeCell ref="A251:C251"/>
    <mergeCell ref="A104:C104"/>
    <mergeCell ref="A119:C119"/>
    <mergeCell ref="A105:C105"/>
    <mergeCell ref="A106:C106"/>
    <mergeCell ref="A107:C107"/>
    <mergeCell ref="A108:C108"/>
    <mergeCell ref="A109:C109"/>
    <mergeCell ref="A175:C175"/>
    <mergeCell ref="A246:C246"/>
    <mergeCell ref="A288:C288"/>
    <mergeCell ref="A303:C303"/>
    <mergeCell ref="A289:C289"/>
    <mergeCell ref="A290:C290"/>
    <mergeCell ref="A291:C291"/>
    <mergeCell ref="A292:C292"/>
    <mergeCell ref="A293:C293"/>
    <mergeCell ref="A261:C261"/>
    <mergeCell ref="A190:C190"/>
    <mergeCell ref="A176:C176"/>
    <mergeCell ref="A177:C177"/>
    <mergeCell ref="A178:C178"/>
    <mergeCell ref="A179:C179"/>
    <mergeCell ref="A180:C180"/>
    <mergeCell ref="A363:C363"/>
    <mergeCell ref="A373:C373"/>
    <mergeCell ref="A358:C358"/>
    <mergeCell ref="A359:C359"/>
    <mergeCell ref="A360:C360"/>
    <mergeCell ref="A361:C361"/>
    <mergeCell ref="A362:C362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 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OŠ Vratišinec - tajnica</cp:lastModifiedBy>
  <cp:lastPrinted>2024-11-22T10:35:31Z</cp:lastPrinted>
  <dcterms:created xsi:type="dcterms:W3CDTF">2022-08-12T12:51:27Z</dcterms:created>
  <dcterms:modified xsi:type="dcterms:W3CDTF">2024-11-22T10:35:34Z</dcterms:modified>
</cp:coreProperties>
</file>